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13\Jorge Farah\arquivos de trabalho2012\FUTMESA 2023\Dadinho\2 Etapa\"/>
    </mc:Choice>
  </mc:AlternateContent>
  <bookViews>
    <workbookView xWindow="-2880" yWindow="0" windowWidth="10245" windowHeight="11520" activeTab="7"/>
  </bookViews>
  <sheets>
    <sheet name="Equipes" sheetId="1" r:id="rId1"/>
    <sheet name="Grupos" sheetId="2" r:id="rId2"/>
    <sheet name="Jogos" sheetId="3" r:id="rId3"/>
    <sheet name="ClassGrupFases" sheetId="4" state="hidden" r:id="rId4"/>
    <sheet name="Classificação" sheetId="5" r:id="rId5"/>
    <sheet name="Finais" sheetId="6" r:id="rId6"/>
    <sheet name="Premiação" sheetId="7" r:id="rId7"/>
    <sheet name="Mata mata 2 divisao" sheetId="8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8" i="6" l="1"/>
  <c r="AE28" i="6"/>
  <c r="AB28" i="6"/>
  <c r="Y28" i="6"/>
  <c r="X28" i="6"/>
  <c r="AD25" i="6"/>
  <c r="AE25" i="6"/>
  <c r="AB25" i="6"/>
  <c r="Z25" i="6"/>
  <c r="W25" i="6"/>
  <c r="AD22" i="6"/>
  <c r="AE22" i="6"/>
  <c r="AB22" i="6"/>
  <c r="Y22" i="6"/>
  <c r="X22" i="6"/>
  <c r="AD21" i="6"/>
  <c r="AE21" i="6"/>
  <c r="AB21" i="6"/>
  <c r="Y21" i="6"/>
  <c r="X21" i="6"/>
  <c r="AD18" i="6"/>
  <c r="AE18" i="6"/>
  <c r="AB18" i="6"/>
  <c r="Z18" i="6"/>
  <c r="W18" i="6"/>
  <c r="AD17" i="6"/>
  <c r="AE17" i="6"/>
  <c r="AB17" i="6"/>
  <c r="Z17" i="6"/>
  <c r="W17" i="6"/>
  <c r="AD16" i="6"/>
  <c r="AE16" i="6"/>
  <c r="AB16" i="6"/>
  <c r="Y16" i="6"/>
  <c r="X16" i="6"/>
  <c r="AD15" i="6"/>
  <c r="AE15" i="6"/>
  <c r="AB15" i="6"/>
  <c r="Y15" i="6"/>
  <c r="X15" i="6"/>
  <c r="AD12" i="6"/>
  <c r="AE12" i="6"/>
  <c r="AB12" i="6"/>
  <c r="Y12" i="6"/>
  <c r="X12" i="6"/>
  <c r="AD11" i="6"/>
  <c r="AE11" i="6"/>
  <c r="AB11" i="6"/>
  <c r="Y11" i="6"/>
  <c r="X11" i="6"/>
  <c r="AD10" i="6"/>
  <c r="AE10" i="6"/>
  <c r="AB10" i="6"/>
  <c r="Z10" i="6"/>
  <c r="W10" i="6"/>
  <c r="AD9" i="6"/>
  <c r="AE9" i="6"/>
  <c r="AB9" i="6"/>
  <c r="Z9" i="6"/>
  <c r="W9" i="6"/>
  <c r="AD8" i="6"/>
  <c r="AE8" i="6"/>
  <c r="AB8" i="6"/>
  <c r="Z8" i="6"/>
  <c r="W8" i="6"/>
  <c r="AD7" i="6"/>
  <c r="AE7" i="6"/>
  <c r="AB7" i="6"/>
  <c r="Y7" i="6"/>
  <c r="X7" i="6"/>
  <c r="AD6" i="6"/>
  <c r="AE6" i="6"/>
  <c r="AB6" i="6"/>
  <c r="Y6" i="6"/>
  <c r="X6" i="6"/>
  <c r="AD5" i="6"/>
  <c r="AE5" i="6"/>
  <c r="AB5" i="6"/>
  <c r="Y5" i="6"/>
  <c r="X5" i="6"/>
  <c r="L27" i="6"/>
  <c r="L24" i="6"/>
  <c r="L20" i="6"/>
  <c r="L14" i="6"/>
  <c r="L4" i="6"/>
  <c r="D39" i="4"/>
  <c r="D38" i="4"/>
  <c r="D37" i="4"/>
  <c r="D36" i="4"/>
  <c r="D35" i="4"/>
  <c r="D34" i="4"/>
  <c r="D33" i="4"/>
  <c r="D30" i="4"/>
  <c r="D29" i="4"/>
  <c r="D28" i="4"/>
  <c r="D27" i="4"/>
  <c r="D26" i="4"/>
  <c r="D25" i="4"/>
  <c r="D24" i="4"/>
  <c r="D21" i="4"/>
  <c r="D20" i="4"/>
  <c r="D19" i="4"/>
  <c r="D18" i="4"/>
  <c r="D17" i="4"/>
  <c r="D16" i="4"/>
  <c r="D15" i="4"/>
  <c r="D12" i="4"/>
  <c r="D11" i="4"/>
  <c r="D10" i="4"/>
  <c r="D9" i="4"/>
  <c r="D8" i="4"/>
  <c r="D7" i="4"/>
  <c r="D6" i="4"/>
  <c r="V93" i="3"/>
  <c r="W93" i="3"/>
  <c r="T93" i="3"/>
  <c r="R93" i="3"/>
  <c r="Q93" i="3"/>
  <c r="P93" i="3"/>
  <c r="O93" i="3"/>
  <c r="U93" i="3"/>
  <c r="N93" i="3"/>
  <c r="S93" i="3"/>
  <c r="M93" i="3"/>
  <c r="F93" i="3"/>
  <c r="B93" i="3"/>
  <c r="V92" i="3"/>
  <c r="W92" i="3"/>
  <c r="T92" i="3"/>
  <c r="R92" i="3"/>
  <c r="Q92" i="3"/>
  <c r="P92" i="3"/>
  <c r="O92" i="3"/>
  <c r="U92" i="3"/>
  <c r="N92" i="3"/>
  <c r="S92" i="3"/>
  <c r="M92" i="3"/>
  <c r="F92" i="3"/>
  <c r="B92" i="3"/>
  <c r="V91" i="3"/>
  <c r="W91" i="3"/>
  <c r="T91" i="3"/>
  <c r="R91" i="3"/>
  <c r="Q91" i="3"/>
  <c r="P91" i="3"/>
  <c r="O91" i="3"/>
  <c r="U91" i="3"/>
  <c r="N91" i="3"/>
  <c r="S91" i="3"/>
  <c r="M91" i="3"/>
  <c r="F91" i="3"/>
  <c r="B91" i="3"/>
  <c r="V90" i="3"/>
  <c r="W90" i="3"/>
  <c r="T90" i="3"/>
  <c r="R90" i="3"/>
  <c r="Q90" i="3"/>
  <c r="P90" i="3"/>
  <c r="O90" i="3"/>
  <c r="U90" i="3"/>
  <c r="N90" i="3"/>
  <c r="S90" i="3"/>
  <c r="M90" i="3"/>
  <c r="F90" i="3"/>
  <c r="B90" i="3"/>
  <c r="V89" i="3"/>
  <c r="W89" i="3"/>
  <c r="T89" i="3"/>
  <c r="R89" i="3"/>
  <c r="Q89" i="3"/>
  <c r="P89" i="3"/>
  <c r="O89" i="3"/>
  <c r="U89" i="3"/>
  <c r="N89" i="3"/>
  <c r="S89" i="3"/>
  <c r="M89" i="3"/>
  <c r="F89" i="3"/>
  <c r="B89" i="3"/>
  <c r="V88" i="3"/>
  <c r="W88" i="3"/>
  <c r="T88" i="3"/>
  <c r="R88" i="3"/>
  <c r="Q88" i="3"/>
  <c r="P88" i="3"/>
  <c r="O88" i="3"/>
  <c r="U88" i="3"/>
  <c r="N88" i="3"/>
  <c r="S88" i="3"/>
  <c r="M88" i="3"/>
  <c r="F88" i="3"/>
  <c r="B88" i="3"/>
  <c r="V87" i="3"/>
  <c r="W87" i="3"/>
  <c r="T87" i="3"/>
  <c r="R87" i="3"/>
  <c r="Q87" i="3"/>
  <c r="P87" i="3"/>
  <c r="O87" i="3"/>
  <c r="U87" i="3"/>
  <c r="N87" i="3"/>
  <c r="S87" i="3"/>
  <c r="M87" i="3"/>
  <c r="F87" i="3"/>
  <c r="B87" i="3"/>
  <c r="V86" i="3"/>
  <c r="W86" i="3"/>
  <c r="T86" i="3"/>
  <c r="R86" i="3"/>
  <c r="Q86" i="3"/>
  <c r="P86" i="3"/>
  <c r="O86" i="3"/>
  <c r="U86" i="3"/>
  <c r="N86" i="3"/>
  <c r="S86" i="3"/>
  <c r="M86" i="3"/>
  <c r="F86" i="3"/>
  <c r="B86" i="3"/>
  <c r="V85" i="3"/>
  <c r="W85" i="3"/>
  <c r="T85" i="3"/>
  <c r="R85" i="3"/>
  <c r="Q85" i="3"/>
  <c r="P85" i="3"/>
  <c r="O85" i="3"/>
  <c r="U85" i="3"/>
  <c r="N85" i="3"/>
  <c r="S85" i="3"/>
  <c r="M85" i="3"/>
  <c r="F85" i="3"/>
  <c r="B85" i="3"/>
  <c r="V84" i="3"/>
  <c r="W84" i="3"/>
  <c r="T84" i="3"/>
  <c r="R84" i="3"/>
  <c r="Q84" i="3"/>
  <c r="P84" i="3"/>
  <c r="O84" i="3"/>
  <c r="U84" i="3"/>
  <c r="N84" i="3"/>
  <c r="S84" i="3"/>
  <c r="M84" i="3"/>
  <c r="F84" i="3"/>
  <c r="B84" i="3"/>
  <c r="V83" i="3"/>
  <c r="W83" i="3"/>
  <c r="T83" i="3"/>
  <c r="R83" i="3"/>
  <c r="Q83" i="3"/>
  <c r="P83" i="3"/>
  <c r="O83" i="3"/>
  <c r="U83" i="3"/>
  <c r="N83" i="3"/>
  <c r="S83" i="3"/>
  <c r="M83" i="3"/>
  <c r="F83" i="3"/>
  <c r="B83" i="3"/>
  <c r="V82" i="3"/>
  <c r="W82" i="3"/>
  <c r="T82" i="3"/>
  <c r="R82" i="3"/>
  <c r="Q82" i="3"/>
  <c r="P82" i="3"/>
  <c r="O82" i="3"/>
  <c r="U82" i="3"/>
  <c r="N82" i="3"/>
  <c r="S82" i="3"/>
  <c r="M82" i="3"/>
  <c r="F82" i="3"/>
  <c r="B82" i="3"/>
  <c r="K81" i="3"/>
  <c r="V80" i="3"/>
  <c r="W80" i="3"/>
  <c r="T80" i="3"/>
  <c r="R80" i="3"/>
  <c r="Q80" i="3"/>
  <c r="P80" i="3"/>
  <c r="O80" i="3"/>
  <c r="U80" i="3"/>
  <c r="N80" i="3"/>
  <c r="S80" i="3"/>
  <c r="M80" i="3"/>
  <c r="F80" i="3"/>
  <c r="B80" i="3"/>
  <c r="V79" i="3"/>
  <c r="W79" i="3"/>
  <c r="T79" i="3"/>
  <c r="R79" i="3"/>
  <c r="Q79" i="3"/>
  <c r="P79" i="3"/>
  <c r="O79" i="3"/>
  <c r="U79" i="3"/>
  <c r="N79" i="3"/>
  <c r="S79" i="3"/>
  <c r="M79" i="3"/>
  <c r="F79" i="3"/>
  <c r="B79" i="3"/>
  <c r="V78" i="3"/>
  <c r="W78" i="3"/>
  <c r="T78" i="3"/>
  <c r="R78" i="3"/>
  <c r="Q78" i="3"/>
  <c r="P78" i="3"/>
  <c r="O78" i="3"/>
  <c r="U78" i="3"/>
  <c r="N78" i="3"/>
  <c r="S78" i="3"/>
  <c r="M78" i="3"/>
  <c r="F78" i="3"/>
  <c r="B78" i="3"/>
  <c r="V77" i="3"/>
  <c r="W77" i="3"/>
  <c r="T77" i="3"/>
  <c r="R77" i="3"/>
  <c r="Q77" i="3"/>
  <c r="P77" i="3"/>
  <c r="O77" i="3"/>
  <c r="U77" i="3"/>
  <c r="N77" i="3"/>
  <c r="S77" i="3"/>
  <c r="M77" i="3"/>
  <c r="F77" i="3"/>
  <c r="B77" i="3"/>
  <c r="V76" i="3"/>
  <c r="W76" i="3"/>
  <c r="T76" i="3"/>
  <c r="R76" i="3"/>
  <c r="Q76" i="3"/>
  <c r="P76" i="3"/>
  <c r="O76" i="3"/>
  <c r="U76" i="3"/>
  <c r="N76" i="3"/>
  <c r="S76" i="3"/>
  <c r="M76" i="3"/>
  <c r="F76" i="3"/>
  <c r="B76" i="3"/>
  <c r="V75" i="3"/>
  <c r="W75" i="3"/>
  <c r="T75" i="3"/>
  <c r="R75" i="3"/>
  <c r="Q75" i="3"/>
  <c r="P75" i="3"/>
  <c r="O75" i="3"/>
  <c r="U75" i="3"/>
  <c r="N75" i="3"/>
  <c r="S75" i="3"/>
  <c r="M75" i="3"/>
  <c r="F75" i="3"/>
  <c r="B75" i="3"/>
  <c r="V74" i="3"/>
  <c r="W74" i="3"/>
  <c r="T74" i="3"/>
  <c r="R74" i="3"/>
  <c r="Q74" i="3"/>
  <c r="P74" i="3"/>
  <c r="O74" i="3"/>
  <c r="U74" i="3"/>
  <c r="N74" i="3"/>
  <c r="S74" i="3"/>
  <c r="M74" i="3"/>
  <c r="F74" i="3"/>
  <c r="B74" i="3"/>
  <c r="V73" i="3"/>
  <c r="W73" i="3"/>
  <c r="T73" i="3"/>
  <c r="R73" i="3"/>
  <c r="Q73" i="3"/>
  <c r="P73" i="3"/>
  <c r="O73" i="3"/>
  <c r="U73" i="3"/>
  <c r="N73" i="3"/>
  <c r="S73" i="3"/>
  <c r="M73" i="3"/>
  <c r="F73" i="3"/>
  <c r="B73" i="3"/>
  <c r="V72" i="3"/>
  <c r="W72" i="3"/>
  <c r="T72" i="3"/>
  <c r="R72" i="3"/>
  <c r="Q72" i="3"/>
  <c r="P72" i="3"/>
  <c r="O72" i="3"/>
  <c r="U72" i="3"/>
  <c r="N72" i="3"/>
  <c r="S72" i="3"/>
  <c r="M72" i="3"/>
  <c r="F72" i="3"/>
  <c r="B72" i="3"/>
  <c r="V71" i="3"/>
  <c r="W71" i="3"/>
  <c r="T71" i="3"/>
  <c r="R71" i="3"/>
  <c r="Q71" i="3"/>
  <c r="P71" i="3"/>
  <c r="O71" i="3"/>
  <c r="U71" i="3"/>
  <c r="N71" i="3"/>
  <c r="S71" i="3"/>
  <c r="M71" i="3"/>
  <c r="F71" i="3"/>
  <c r="B71" i="3"/>
  <c r="V70" i="3"/>
  <c r="W70" i="3"/>
  <c r="T70" i="3"/>
  <c r="R70" i="3"/>
  <c r="Q70" i="3"/>
  <c r="P70" i="3"/>
  <c r="O70" i="3"/>
  <c r="U70" i="3"/>
  <c r="N70" i="3"/>
  <c r="S70" i="3"/>
  <c r="M70" i="3"/>
  <c r="F70" i="3"/>
  <c r="B70" i="3"/>
  <c r="V69" i="3"/>
  <c r="W69" i="3"/>
  <c r="T69" i="3"/>
  <c r="R69" i="3"/>
  <c r="Q69" i="3"/>
  <c r="P69" i="3"/>
  <c r="O69" i="3"/>
  <c r="U69" i="3"/>
  <c r="N69" i="3"/>
  <c r="S69" i="3"/>
  <c r="M69" i="3"/>
  <c r="F69" i="3"/>
  <c r="B69" i="3"/>
  <c r="K68" i="3"/>
  <c r="V67" i="3"/>
  <c r="W67" i="3"/>
  <c r="T67" i="3"/>
  <c r="R67" i="3"/>
  <c r="Q67" i="3"/>
  <c r="P67" i="3"/>
  <c r="O67" i="3"/>
  <c r="U67" i="3"/>
  <c r="N67" i="3"/>
  <c r="S67" i="3"/>
  <c r="M67" i="3"/>
  <c r="F67" i="3"/>
  <c r="B67" i="3"/>
  <c r="V66" i="3"/>
  <c r="W66" i="3"/>
  <c r="T66" i="3"/>
  <c r="R66" i="3"/>
  <c r="Q66" i="3"/>
  <c r="P66" i="3"/>
  <c r="O66" i="3"/>
  <c r="U66" i="3"/>
  <c r="N66" i="3"/>
  <c r="S66" i="3"/>
  <c r="M66" i="3"/>
  <c r="F66" i="3"/>
  <c r="B66" i="3"/>
  <c r="V65" i="3"/>
  <c r="W65" i="3"/>
  <c r="T65" i="3"/>
  <c r="R65" i="3"/>
  <c r="Q65" i="3"/>
  <c r="P65" i="3"/>
  <c r="O65" i="3"/>
  <c r="U65" i="3"/>
  <c r="N65" i="3"/>
  <c r="S65" i="3"/>
  <c r="M65" i="3"/>
  <c r="F65" i="3"/>
  <c r="B65" i="3"/>
  <c r="V64" i="3"/>
  <c r="W64" i="3"/>
  <c r="T64" i="3"/>
  <c r="R64" i="3"/>
  <c r="Q64" i="3"/>
  <c r="P64" i="3"/>
  <c r="O64" i="3"/>
  <c r="U64" i="3"/>
  <c r="N64" i="3"/>
  <c r="S64" i="3"/>
  <c r="M64" i="3"/>
  <c r="F64" i="3"/>
  <c r="B64" i="3"/>
  <c r="V63" i="3"/>
  <c r="W63" i="3"/>
  <c r="T63" i="3"/>
  <c r="R63" i="3"/>
  <c r="Q63" i="3"/>
  <c r="P63" i="3"/>
  <c r="O63" i="3"/>
  <c r="U63" i="3"/>
  <c r="N63" i="3"/>
  <c r="S63" i="3"/>
  <c r="M63" i="3"/>
  <c r="F63" i="3"/>
  <c r="B63" i="3"/>
  <c r="V62" i="3"/>
  <c r="W62" i="3"/>
  <c r="T62" i="3"/>
  <c r="R62" i="3"/>
  <c r="Q62" i="3"/>
  <c r="P62" i="3"/>
  <c r="O62" i="3"/>
  <c r="U62" i="3"/>
  <c r="N62" i="3"/>
  <c r="S62" i="3"/>
  <c r="M62" i="3"/>
  <c r="F62" i="3"/>
  <c r="B62" i="3"/>
  <c r="V61" i="3"/>
  <c r="W61" i="3"/>
  <c r="T61" i="3"/>
  <c r="R61" i="3"/>
  <c r="Q61" i="3"/>
  <c r="P61" i="3"/>
  <c r="O61" i="3"/>
  <c r="U61" i="3"/>
  <c r="N61" i="3"/>
  <c r="S61" i="3"/>
  <c r="M61" i="3"/>
  <c r="F61" i="3"/>
  <c r="B61" i="3"/>
  <c r="V60" i="3"/>
  <c r="W60" i="3"/>
  <c r="T60" i="3"/>
  <c r="R60" i="3"/>
  <c r="Q60" i="3"/>
  <c r="P60" i="3"/>
  <c r="O60" i="3"/>
  <c r="U60" i="3"/>
  <c r="N60" i="3"/>
  <c r="S60" i="3"/>
  <c r="M60" i="3"/>
  <c r="F60" i="3"/>
  <c r="B60" i="3"/>
  <c r="V59" i="3"/>
  <c r="W59" i="3"/>
  <c r="T59" i="3"/>
  <c r="R59" i="3"/>
  <c r="Q59" i="3"/>
  <c r="P59" i="3"/>
  <c r="O59" i="3"/>
  <c r="U59" i="3"/>
  <c r="N59" i="3"/>
  <c r="S59" i="3"/>
  <c r="M59" i="3"/>
  <c r="F59" i="3"/>
  <c r="B59" i="3"/>
  <c r="V58" i="3"/>
  <c r="W58" i="3"/>
  <c r="T58" i="3"/>
  <c r="R58" i="3"/>
  <c r="Q58" i="3"/>
  <c r="P58" i="3"/>
  <c r="O58" i="3"/>
  <c r="U58" i="3"/>
  <c r="N58" i="3"/>
  <c r="S58" i="3"/>
  <c r="M58" i="3"/>
  <c r="F58" i="3"/>
  <c r="B58" i="3"/>
  <c r="V57" i="3"/>
  <c r="W57" i="3"/>
  <c r="T57" i="3"/>
  <c r="R57" i="3"/>
  <c r="Q57" i="3"/>
  <c r="P57" i="3"/>
  <c r="O57" i="3"/>
  <c r="U57" i="3"/>
  <c r="N57" i="3"/>
  <c r="S57" i="3"/>
  <c r="M57" i="3"/>
  <c r="F57" i="3"/>
  <c r="B57" i="3"/>
  <c r="V56" i="3"/>
  <c r="W56" i="3"/>
  <c r="T56" i="3"/>
  <c r="R56" i="3"/>
  <c r="Q56" i="3"/>
  <c r="P56" i="3"/>
  <c r="O56" i="3"/>
  <c r="U56" i="3"/>
  <c r="N56" i="3"/>
  <c r="S56" i="3"/>
  <c r="M56" i="3"/>
  <c r="F56" i="3"/>
  <c r="B56" i="3"/>
  <c r="K55" i="3"/>
  <c r="V54" i="3"/>
  <c r="W54" i="3"/>
  <c r="T54" i="3"/>
  <c r="R54" i="3"/>
  <c r="Q54" i="3"/>
  <c r="P54" i="3"/>
  <c r="O54" i="3"/>
  <c r="U54" i="3"/>
  <c r="N54" i="3"/>
  <c r="S54" i="3"/>
  <c r="M54" i="3"/>
  <c r="F54" i="3"/>
  <c r="B54" i="3"/>
  <c r="V53" i="3"/>
  <c r="W53" i="3"/>
  <c r="T53" i="3"/>
  <c r="R53" i="3"/>
  <c r="Q53" i="3"/>
  <c r="P53" i="3"/>
  <c r="O53" i="3"/>
  <c r="U53" i="3"/>
  <c r="N53" i="3"/>
  <c r="S53" i="3"/>
  <c r="M53" i="3"/>
  <c r="F53" i="3"/>
  <c r="B53" i="3"/>
  <c r="V52" i="3"/>
  <c r="W52" i="3"/>
  <c r="T52" i="3"/>
  <c r="R52" i="3"/>
  <c r="Q52" i="3"/>
  <c r="P52" i="3"/>
  <c r="O52" i="3"/>
  <c r="U52" i="3"/>
  <c r="N52" i="3"/>
  <c r="S52" i="3"/>
  <c r="M52" i="3"/>
  <c r="F52" i="3"/>
  <c r="B52" i="3"/>
  <c r="V51" i="3"/>
  <c r="W51" i="3"/>
  <c r="T51" i="3"/>
  <c r="R51" i="3"/>
  <c r="Q51" i="3"/>
  <c r="P51" i="3"/>
  <c r="O51" i="3"/>
  <c r="U51" i="3"/>
  <c r="N51" i="3"/>
  <c r="S51" i="3"/>
  <c r="M51" i="3"/>
  <c r="F51" i="3"/>
  <c r="B51" i="3"/>
  <c r="V50" i="3"/>
  <c r="W50" i="3"/>
  <c r="T50" i="3"/>
  <c r="R50" i="3"/>
  <c r="Q50" i="3"/>
  <c r="P50" i="3"/>
  <c r="O50" i="3"/>
  <c r="U50" i="3"/>
  <c r="N50" i="3"/>
  <c r="S50" i="3"/>
  <c r="M50" i="3"/>
  <c r="F50" i="3"/>
  <c r="B50" i="3"/>
  <c r="V49" i="3"/>
  <c r="W49" i="3"/>
  <c r="T49" i="3"/>
  <c r="R49" i="3"/>
  <c r="Q49" i="3"/>
  <c r="P49" i="3"/>
  <c r="O49" i="3"/>
  <c r="U49" i="3"/>
  <c r="N49" i="3"/>
  <c r="S49" i="3"/>
  <c r="M49" i="3"/>
  <c r="F49" i="3"/>
  <c r="B49" i="3"/>
  <c r="V48" i="3"/>
  <c r="W48" i="3"/>
  <c r="T48" i="3"/>
  <c r="R48" i="3"/>
  <c r="Q48" i="3"/>
  <c r="P48" i="3"/>
  <c r="O48" i="3"/>
  <c r="U48" i="3"/>
  <c r="N48" i="3"/>
  <c r="S48" i="3"/>
  <c r="M48" i="3"/>
  <c r="F48" i="3"/>
  <c r="B48" i="3"/>
  <c r="V47" i="3"/>
  <c r="W47" i="3"/>
  <c r="T47" i="3"/>
  <c r="R47" i="3"/>
  <c r="Q47" i="3"/>
  <c r="P47" i="3"/>
  <c r="O47" i="3"/>
  <c r="U47" i="3"/>
  <c r="N47" i="3"/>
  <c r="S47" i="3"/>
  <c r="M47" i="3"/>
  <c r="F47" i="3"/>
  <c r="B47" i="3"/>
  <c r="V46" i="3"/>
  <c r="W46" i="3"/>
  <c r="T46" i="3"/>
  <c r="R46" i="3"/>
  <c r="Q46" i="3"/>
  <c r="P46" i="3"/>
  <c r="O46" i="3"/>
  <c r="U46" i="3"/>
  <c r="N46" i="3"/>
  <c r="S46" i="3"/>
  <c r="M46" i="3"/>
  <c r="F46" i="3"/>
  <c r="B46" i="3"/>
  <c r="V45" i="3"/>
  <c r="W45" i="3"/>
  <c r="T45" i="3"/>
  <c r="R45" i="3"/>
  <c r="Q45" i="3"/>
  <c r="P45" i="3"/>
  <c r="O45" i="3"/>
  <c r="U45" i="3"/>
  <c r="N45" i="3"/>
  <c r="S45" i="3"/>
  <c r="M45" i="3"/>
  <c r="F45" i="3"/>
  <c r="B45" i="3"/>
  <c r="V44" i="3"/>
  <c r="W44" i="3"/>
  <c r="T44" i="3"/>
  <c r="R44" i="3"/>
  <c r="Q44" i="3"/>
  <c r="P44" i="3"/>
  <c r="O44" i="3"/>
  <c r="U44" i="3"/>
  <c r="N44" i="3"/>
  <c r="S44" i="3"/>
  <c r="M44" i="3"/>
  <c r="F44" i="3"/>
  <c r="B44" i="3"/>
  <c r="V43" i="3"/>
  <c r="W43" i="3"/>
  <c r="T43" i="3"/>
  <c r="R43" i="3"/>
  <c r="Q43" i="3"/>
  <c r="P43" i="3"/>
  <c r="O43" i="3"/>
  <c r="U43" i="3"/>
  <c r="N43" i="3"/>
  <c r="S43" i="3"/>
  <c r="M43" i="3"/>
  <c r="F43" i="3"/>
  <c r="B43" i="3"/>
  <c r="K42" i="3"/>
  <c r="V41" i="3"/>
  <c r="W41" i="3"/>
  <c r="T41" i="3"/>
  <c r="R41" i="3"/>
  <c r="Q41" i="3"/>
  <c r="P41" i="3"/>
  <c r="O41" i="3"/>
  <c r="U41" i="3"/>
  <c r="N41" i="3"/>
  <c r="S41" i="3"/>
  <c r="M41" i="3"/>
  <c r="F41" i="3"/>
  <c r="B41" i="3"/>
  <c r="V40" i="3"/>
  <c r="W40" i="3"/>
  <c r="T40" i="3"/>
  <c r="R40" i="3"/>
  <c r="Q40" i="3"/>
  <c r="P40" i="3"/>
  <c r="O40" i="3"/>
  <c r="U40" i="3"/>
  <c r="N40" i="3"/>
  <c r="S40" i="3"/>
  <c r="M40" i="3"/>
  <c r="F40" i="3"/>
  <c r="B40" i="3"/>
  <c r="V39" i="3"/>
  <c r="W39" i="3"/>
  <c r="T39" i="3"/>
  <c r="R39" i="3"/>
  <c r="Q39" i="3"/>
  <c r="P39" i="3"/>
  <c r="O39" i="3"/>
  <c r="U39" i="3"/>
  <c r="N39" i="3"/>
  <c r="S39" i="3"/>
  <c r="M39" i="3"/>
  <c r="F39" i="3"/>
  <c r="B39" i="3"/>
  <c r="V38" i="3"/>
  <c r="W38" i="3"/>
  <c r="T38" i="3"/>
  <c r="R38" i="3"/>
  <c r="Q38" i="3"/>
  <c r="P38" i="3"/>
  <c r="O38" i="3"/>
  <c r="U38" i="3"/>
  <c r="N38" i="3"/>
  <c r="S38" i="3"/>
  <c r="M38" i="3"/>
  <c r="F38" i="3"/>
  <c r="B38" i="3"/>
  <c r="V37" i="3"/>
  <c r="W37" i="3"/>
  <c r="T37" i="3"/>
  <c r="R37" i="3"/>
  <c r="Q37" i="3"/>
  <c r="P37" i="3"/>
  <c r="O37" i="3"/>
  <c r="U37" i="3"/>
  <c r="N37" i="3"/>
  <c r="S37" i="3"/>
  <c r="M37" i="3"/>
  <c r="F37" i="3"/>
  <c r="B37" i="3"/>
  <c r="V36" i="3"/>
  <c r="W36" i="3"/>
  <c r="T36" i="3"/>
  <c r="R36" i="3"/>
  <c r="Q36" i="3"/>
  <c r="P36" i="3"/>
  <c r="O36" i="3"/>
  <c r="U36" i="3"/>
  <c r="N36" i="3"/>
  <c r="S36" i="3"/>
  <c r="M36" i="3"/>
  <c r="F36" i="3"/>
  <c r="B36" i="3"/>
  <c r="V35" i="3"/>
  <c r="W35" i="3"/>
  <c r="T35" i="3"/>
  <c r="R35" i="3"/>
  <c r="Q35" i="3"/>
  <c r="P35" i="3"/>
  <c r="O35" i="3"/>
  <c r="U35" i="3"/>
  <c r="N35" i="3"/>
  <c r="S35" i="3"/>
  <c r="M35" i="3"/>
  <c r="F35" i="3"/>
  <c r="B35" i="3"/>
  <c r="V34" i="3"/>
  <c r="W34" i="3"/>
  <c r="T34" i="3"/>
  <c r="R34" i="3"/>
  <c r="Q34" i="3"/>
  <c r="P34" i="3"/>
  <c r="O34" i="3"/>
  <c r="U34" i="3"/>
  <c r="N34" i="3"/>
  <c r="S34" i="3"/>
  <c r="M34" i="3"/>
  <c r="F34" i="3"/>
  <c r="B34" i="3"/>
  <c r="V33" i="3"/>
  <c r="W33" i="3"/>
  <c r="T33" i="3"/>
  <c r="R33" i="3"/>
  <c r="Q33" i="3"/>
  <c r="P33" i="3"/>
  <c r="O33" i="3"/>
  <c r="U33" i="3"/>
  <c r="N33" i="3"/>
  <c r="S33" i="3"/>
  <c r="M33" i="3"/>
  <c r="F33" i="3"/>
  <c r="B33" i="3"/>
  <c r="V32" i="3"/>
  <c r="W32" i="3"/>
  <c r="T32" i="3"/>
  <c r="R32" i="3"/>
  <c r="Q32" i="3"/>
  <c r="P32" i="3"/>
  <c r="O32" i="3"/>
  <c r="U32" i="3"/>
  <c r="N32" i="3"/>
  <c r="S32" i="3"/>
  <c r="M32" i="3"/>
  <c r="F32" i="3"/>
  <c r="B32" i="3"/>
  <c r="V31" i="3"/>
  <c r="W31" i="3"/>
  <c r="T31" i="3"/>
  <c r="R31" i="3"/>
  <c r="Q31" i="3"/>
  <c r="P31" i="3"/>
  <c r="O31" i="3"/>
  <c r="U31" i="3"/>
  <c r="N31" i="3"/>
  <c r="S31" i="3"/>
  <c r="M31" i="3"/>
  <c r="F31" i="3"/>
  <c r="B31" i="3"/>
  <c r="V30" i="3"/>
  <c r="W30" i="3"/>
  <c r="T30" i="3"/>
  <c r="R30" i="3"/>
  <c r="Q30" i="3"/>
  <c r="P30" i="3"/>
  <c r="O30" i="3"/>
  <c r="U30" i="3"/>
  <c r="N30" i="3"/>
  <c r="S30" i="3"/>
  <c r="M30" i="3"/>
  <c r="F30" i="3"/>
  <c r="B30" i="3"/>
  <c r="K29" i="3"/>
  <c r="V28" i="3"/>
  <c r="W28" i="3"/>
  <c r="T28" i="3"/>
  <c r="R28" i="3"/>
  <c r="Q28" i="3"/>
  <c r="P28" i="3"/>
  <c r="O28" i="3"/>
  <c r="U28" i="3"/>
  <c r="N28" i="3"/>
  <c r="S28" i="3"/>
  <c r="M28" i="3"/>
  <c r="F28" i="3"/>
  <c r="B28" i="3"/>
  <c r="V27" i="3"/>
  <c r="W27" i="3"/>
  <c r="T27" i="3"/>
  <c r="R27" i="3"/>
  <c r="Q27" i="3"/>
  <c r="P27" i="3"/>
  <c r="O27" i="3"/>
  <c r="U27" i="3"/>
  <c r="N27" i="3"/>
  <c r="S27" i="3"/>
  <c r="M27" i="3"/>
  <c r="F27" i="3"/>
  <c r="B27" i="3"/>
  <c r="V26" i="3"/>
  <c r="W26" i="3"/>
  <c r="T26" i="3"/>
  <c r="R26" i="3"/>
  <c r="Q26" i="3"/>
  <c r="P26" i="3"/>
  <c r="O26" i="3"/>
  <c r="U26" i="3"/>
  <c r="N26" i="3"/>
  <c r="S26" i="3"/>
  <c r="M26" i="3"/>
  <c r="F26" i="3"/>
  <c r="B26" i="3"/>
  <c r="V25" i="3"/>
  <c r="W25" i="3"/>
  <c r="T25" i="3"/>
  <c r="R25" i="3"/>
  <c r="Q25" i="3"/>
  <c r="P25" i="3"/>
  <c r="O25" i="3"/>
  <c r="U25" i="3"/>
  <c r="N25" i="3"/>
  <c r="S25" i="3"/>
  <c r="M25" i="3"/>
  <c r="F25" i="3"/>
  <c r="B25" i="3"/>
  <c r="V24" i="3"/>
  <c r="W24" i="3"/>
  <c r="T24" i="3"/>
  <c r="R24" i="3"/>
  <c r="Q24" i="3"/>
  <c r="P24" i="3"/>
  <c r="O24" i="3"/>
  <c r="U24" i="3"/>
  <c r="N24" i="3"/>
  <c r="S24" i="3"/>
  <c r="M24" i="3"/>
  <c r="F24" i="3"/>
  <c r="B24" i="3"/>
  <c r="V23" i="3"/>
  <c r="W23" i="3"/>
  <c r="T23" i="3"/>
  <c r="R23" i="3"/>
  <c r="Q23" i="3"/>
  <c r="P23" i="3"/>
  <c r="O23" i="3"/>
  <c r="U23" i="3"/>
  <c r="N23" i="3"/>
  <c r="S23" i="3"/>
  <c r="M23" i="3"/>
  <c r="F23" i="3"/>
  <c r="B23" i="3"/>
  <c r="V22" i="3"/>
  <c r="W22" i="3"/>
  <c r="T22" i="3"/>
  <c r="R22" i="3"/>
  <c r="Q22" i="3"/>
  <c r="P22" i="3"/>
  <c r="O22" i="3"/>
  <c r="U22" i="3"/>
  <c r="N22" i="3"/>
  <c r="S22" i="3"/>
  <c r="M22" i="3"/>
  <c r="F22" i="3"/>
  <c r="B22" i="3"/>
  <c r="V21" i="3"/>
  <c r="W21" i="3"/>
  <c r="T21" i="3"/>
  <c r="R21" i="3"/>
  <c r="Q21" i="3"/>
  <c r="P21" i="3"/>
  <c r="O21" i="3"/>
  <c r="U21" i="3"/>
  <c r="N21" i="3"/>
  <c r="S21" i="3"/>
  <c r="M21" i="3"/>
  <c r="F21" i="3"/>
  <c r="B21" i="3"/>
  <c r="V20" i="3"/>
  <c r="W20" i="3"/>
  <c r="T20" i="3"/>
  <c r="R20" i="3"/>
  <c r="Q20" i="3"/>
  <c r="P20" i="3"/>
  <c r="O20" i="3"/>
  <c r="U20" i="3"/>
  <c r="N20" i="3"/>
  <c r="S20" i="3"/>
  <c r="M20" i="3"/>
  <c r="F20" i="3"/>
  <c r="B20" i="3"/>
  <c r="V19" i="3"/>
  <c r="W19" i="3"/>
  <c r="T19" i="3"/>
  <c r="R19" i="3"/>
  <c r="Q19" i="3"/>
  <c r="P19" i="3"/>
  <c r="O19" i="3"/>
  <c r="U19" i="3"/>
  <c r="N19" i="3"/>
  <c r="S19" i="3"/>
  <c r="M19" i="3"/>
  <c r="F19" i="3"/>
  <c r="B19" i="3"/>
  <c r="V18" i="3"/>
  <c r="W18" i="3"/>
  <c r="T18" i="3"/>
  <c r="R18" i="3"/>
  <c r="Q18" i="3"/>
  <c r="P18" i="3"/>
  <c r="O18" i="3"/>
  <c r="U18" i="3"/>
  <c r="N18" i="3"/>
  <c r="S18" i="3"/>
  <c r="M18" i="3"/>
  <c r="F18" i="3"/>
  <c r="B18" i="3"/>
  <c r="V17" i="3"/>
  <c r="W17" i="3"/>
  <c r="T17" i="3"/>
  <c r="R17" i="3"/>
  <c r="Q17" i="3"/>
  <c r="P17" i="3"/>
  <c r="O17" i="3"/>
  <c r="U17" i="3"/>
  <c r="N17" i="3"/>
  <c r="S17" i="3"/>
  <c r="M17" i="3"/>
  <c r="F17" i="3"/>
  <c r="B17" i="3"/>
  <c r="K16" i="3"/>
  <c r="V15" i="3"/>
  <c r="W15" i="3"/>
  <c r="T15" i="3"/>
  <c r="R15" i="3"/>
  <c r="Q15" i="3"/>
  <c r="P15" i="3"/>
  <c r="O15" i="3"/>
  <c r="U15" i="3"/>
  <c r="N15" i="3"/>
  <c r="S15" i="3"/>
  <c r="M15" i="3"/>
  <c r="F15" i="3"/>
  <c r="B15" i="3"/>
  <c r="V14" i="3"/>
  <c r="W14" i="3"/>
  <c r="T14" i="3"/>
  <c r="R14" i="3"/>
  <c r="Q14" i="3"/>
  <c r="P14" i="3"/>
  <c r="O14" i="3"/>
  <c r="U14" i="3"/>
  <c r="N14" i="3"/>
  <c r="S14" i="3"/>
  <c r="M14" i="3"/>
  <c r="F14" i="3"/>
  <c r="B14" i="3"/>
  <c r="V13" i="3"/>
  <c r="W13" i="3"/>
  <c r="T13" i="3"/>
  <c r="R13" i="3"/>
  <c r="Q13" i="3"/>
  <c r="P13" i="3"/>
  <c r="O13" i="3"/>
  <c r="U13" i="3"/>
  <c r="N13" i="3"/>
  <c r="S13" i="3"/>
  <c r="M13" i="3"/>
  <c r="F13" i="3"/>
  <c r="B13" i="3"/>
  <c r="V12" i="3"/>
  <c r="W12" i="3"/>
  <c r="T12" i="3"/>
  <c r="R12" i="3"/>
  <c r="Q12" i="3"/>
  <c r="P12" i="3"/>
  <c r="O12" i="3"/>
  <c r="U12" i="3"/>
  <c r="N12" i="3"/>
  <c r="S12" i="3"/>
  <c r="M12" i="3"/>
  <c r="F12" i="3"/>
  <c r="B12" i="3"/>
  <c r="V11" i="3"/>
  <c r="W11" i="3"/>
  <c r="T11" i="3"/>
  <c r="R11" i="3"/>
  <c r="Q11" i="3"/>
  <c r="P11" i="3"/>
  <c r="O11" i="3"/>
  <c r="U11" i="3"/>
  <c r="N11" i="3"/>
  <c r="S11" i="3"/>
  <c r="M11" i="3"/>
  <c r="F11" i="3"/>
  <c r="B11" i="3"/>
  <c r="V10" i="3"/>
  <c r="W10" i="3"/>
  <c r="T10" i="3"/>
  <c r="R10" i="3"/>
  <c r="Q10" i="3"/>
  <c r="P10" i="3"/>
  <c r="O10" i="3"/>
  <c r="U10" i="3"/>
  <c r="N10" i="3"/>
  <c r="S10" i="3"/>
  <c r="M10" i="3"/>
  <c r="F10" i="3"/>
  <c r="B10" i="3"/>
  <c r="V9" i="3"/>
  <c r="W9" i="3"/>
  <c r="T9" i="3"/>
  <c r="R9" i="3"/>
  <c r="Q9" i="3"/>
  <c r="P9" i="3"/>
  <c r="O9" i="3"/>
  <c r="U9" i="3"/>
  <c r="N9" i="3"/>
  <c r="S9" i="3"/>
  <c r="M9" i="3"/>
  <c r="F9" i="3"/>
  <c r="B9" i="3"/>
  <c r="V8" i="3"/>
  <c r="W8" i="3"/>
  <c r="T8" i="3"/>
  <c r="R8" i="3"/>
  <c r="Q8" i="3"/>
  <c r="P8" i="3"/>
  <c r="O8" i="3"/>
  <c r="U8" i="3"/>
  <c r="N8" i="3"/>
  <c r="S8" i="3"/>
  <c r="M8" i="3"/>
  <c r="F8" i="3"/>
  <c r="B8" i="3"/>
  <c r="V7" i="3"/>
  <c r="W7" i="3"/>
  <c r="T7" i="3"/>
  <c r="R7" i="3"/>
  <c r="Q7" i="3"/>
  <c r="P7" i="3"/>
  <c r="O7" i="3"/>
  <c r="U7" i="3"/>
  <c r="N7" i="3"/>
  <c r="S7" i="3"/>
  <c r="M7" i="3"/>
  <c r="F7" i="3"/>
  <c r="B7" i="3"/>
  <c r="V6" i="3"/>
  <c r="W6" i="3"/>
  <c r="T6" i="3"/>
  <c r="R6" i="3"/>
  <c r="Q6" i="3"/>
  <c r="P6" i="3"/>
  <c r="O6" i="3"/>
  <c r="U6" i="3"/>
  <c r="N6" i="3"/>
  <c r="S6" i="3"/>
  <c r="M6" i="3"/>
  <c r="F6" i="3"/>
  <c r="B6" i="3"/>
  <c r="V5" i="3"/>
  <c r="W5" i="3"/>
  <c r="T5" i="3"/>
  <c r="R5" i="3"/>
  <c r="Q5" i="3"/>
  <c r="P5" i="3"/>
  <c r="O5" i="3"/>
  <c r="U5" i="3"/>
  <c r="N5" i="3"/>
  <c r="S5" i="3"/>
  <c r="M5" i="3"/>
  <c r="F5" i="3"/>
  <c r="B5" i="3"/>
  <c r="V4" i="3"/>
  <c r="W4" i="3"/>
  <c r="T4" i="3"/>
  <c r="R4" i="3"/>
  <c r="Q4" i="3"/>
  <c r="P4" i="3"/>
  <c r="I21" i="4" s="1"/>
  <c r="O4" i="3"/>
  <c r="U4" i="3"/>
  <c r="N4" i="3"/>
  <c r="S4" i="3"/>
  <c r="K26" i="4" s="1"/>
  <c r="M4" i="3"/>
  <c r="F4" i="3"/>
  <c r="B4" i="3"/>
  <c r="B37" i="2"/>
  <c r="B36" i="2"/>
  <c r="B35" i="2"/>
  <c r="B34" i="2"/>
  <c r="B33" i="2"/>
  <c r="B32" i="2"/>
  <c r="B31" i="2"/>
  <c r="B28" i="2"/>
  <c r="B27" i="2"/>
  <c r="B26" i="2"/>
  <c r="B25" i="2"/>
  <c r="B24" i="2"/>
  <c r="B23" i="2"/>
  <c r="B22" i="2"/>
  <c r="B19" i="2"/>
  <c r="B18" i="2"/>
  <c r="B17" i="2"/>
  <c r="B16" i="2"/>
  <c r="B15" i="2"/>
  <c r="B14" i="2"/>
  <c r="B13" i="2"/>
  <c r="B10" i="2"/>
  <c r="B9" i="2"/>
  <c r="B8" i="2"/>
  <c r="B7" i="2"/>
  <c r="B6" i="2"/>
  <c r="B5" i="2"/>
  <c r="B4" i="2"/>
  <c r="J37" i="4" l="1"/>
  <c r="G38" i="4"/>
  <c r="H27" i="4"/>
  <c r="L19" i="4"/>
  <c r="J6" i="4"/>
  <c r="I24" i="4"/>
  <c r="J7" i="4"/>
  <c r="J10" i="4"/>
  <c r="K15" i="4"/>
  <c r="L33" i="4"/>
  <c r="L38" i="4"/>
  <c r="H35" i="4"/>
  <c r="G18" i="4"/>
  <c r="H8" i="4"/>
  <c r="K11" i="4"/>
  <c r="I16" i="4"/>
  <c r="I30" i="4"/>
  <c r="I25" i="4"/>
  <c r="L25" i="4"/>
  <c r="H25" i="4"/>
  <c r="K25" i="4"/>
  <c r="G25" i="4"/>
  <c r="J29" i="4"/>
  <c r="G7" i="4"/>
  <c r="L8" i="4"/>
  <c r="K12" i="4"/>
  <c r="H15" i="4"/>
  <c r="I17" i="4"/>
  <c r="L17" i="4"/>
  <c r="H17" i="4"/>
  <c r="F17" i="4" s="1"/>
  <c r="E17" i="4" s="1"/>
  <c r="K17" i="4"/>
  <c r="G17" i="4"/>
  <c r="K18" i="4"/>
  <c r="L20" i="4"/>
  <c r="J25" i="4"/>
  <c r="K27" i="4"/>
  <c r="J28" i="4"/>
  <c r="J30" i="4"/>
  <c r="L36" i="4"/>
  <c r="H36" i="4"/>
  <c r="J36" i="4"/>
  <c r="I36" i="4"/>
  <c r="F36" i="4" s="1"/>
  <c r="G36" i="4"/>
  <c r="J39" i="4"/>
  <c r="I6" i="4"/>
  <c r="L6" i="4"/>
  <c r="H6" i="4"/>
  <c r="K6" i="4"/>
  <c r="G6" i="4"/>
  <c r="K7" i="4"/>
  <c r="L9" i="4"/>
  <c r="J11" i="4"/>
  <c r="H12" i="4"/>
  <c r="L15" i="4"/>
  <c r="M15" i="4" s="1"/>
  <c r="J17" i="4"/>
  <c r="K19" i="4"/>
  <c r="I20" i="4"/>
  <c r="L24" i="4"/>
  <c r="J26" i="4"/>
  <c r="J33" i="4"/>
  <c r="I34" i="4"/>
  <c r="K36" i="4"/>
  <c r="I10" i="4"/>
  <c r="L10" i="4"/>
  <c r="H10" i="4"/>
  <c r="K10" i="4"/>
  <c r="G10" i="4"/>
  <c r="G34" i="4"/>
  <c r="G30" i="4"/>
  <c r="H34" i="4"/>
  <c r="H30" i="4"/>
  <c r="H38" i="4"/>
  <c r="H33" i="4"/>
  <c r="H26" i="4"/>
  <c r="H18" i="4"/>
  <c r="H11" i="4"/>
  <c r="H7" i="4"/>
  <c r="K38" i="4"/>
  <c r="I38" i="4"/>
  <c r="K8" i="4"/>
  <c r="I9" i="4"/>
  <c r="G11" i="4"/>
  <c r="L12" i="4"/>
  <c r="L16" i="4"/>
  <c r="J18" i="4"/>
  <c r="H19" i="4"/>
  <c r="L21" i="4"/>
  <c r="H21" i="4"/>
  <c r="F21" i="4" s="1"/>
  <c r="K21" i="4"/>
  <c r="G21" i="4"/>
  <c r="E21" i="4" s="1"/>
  <c r="J21" i="4"/>
  <c r="G26" i="4"/>
  <c r="L27" i="4"/>
  <c r="H29" i="4"/>
  <c r="G33" i="4"/>
  <c r="J35" i="4"/>
  <c r="L7" i="4"/>
  <c r="I8" i="4"/>
  <c r="J9" i="4"/>
  <c r="L11" i="4"/>
  <c r="I12" i="4"/>
  <c r="I15" i="4"/>
  <c r="F15" i="4" s="1"/>
  <c r="J16" i="4"/>
  <c r="L18" i="4"/>
  <c r="I19" i="4"/>
  <c r="J20" i="4"/>
  <c r="J24" i="4"/>
  <c r="L26" i="4"/>
  <c r="M26" i="4" s="1"/>
  <c r="I27" i="4"/>
  <c r="L28" i="4"/>
  <c r="H28" i="4"/>
  <c r="K28" i="4"/>
  <c r="K30" i="4"/>
  <c r="J34" i="4"/>
  <c r="K34" i="4"/>
  <c r="I35" i="4"/>
  <c r="I37" i="4"/>
  <c r="K37" i="4"/>
  <c r="K39" i="4"/>
  <c r="G39" i="4"/>
  <c r="L39" i="4"/>
  <c r="I7" i="4"/>
  <c r="J8" i="4"/>
  <c r="G9" i="4"/>
  <c r="K9" i="4"/>
  <c r="I11" i="4"/>
  <c r="F11" i="4" s="1"/>
  <c r="J12" i="4"/>
  <c r="J15" i="4"/>
  <c r="G16" i="4"/>
  <c r="K16" i="4"/>
  <c r="I18" i="4"/>
  <c r="F18" i="4" s="1"/>
  <c r="J19" i="4"/>
  <c r="G20" i="4"/>
  <c r="K20" i="4"/>
  <c r="M20" i="4" s="1"/>
  <c r="G24" i="4"/>
  <c r="K24" i="4"/>
  <c r="I26" i="4"/>
  <c r="J27" i="4"/>
  <c r="G28" i="4"/>
  <c r="I29" i="4"/>
  <c r="K29" i="4"/>
  <c r="L30" i="4"/>
  <c r="L34" i="4"/>
  <c r="M34" i="4" s="1"/>
  <c r="G37" i="4"/>
  <c r="L37" i="4"/>
  <c r="H39" i="4"/>
  <c r="G8" i="4"/>
  <c r="H9" i="4"/>
  <c r="G12" i="4"/>
  <c r="G15" i="4"/>
  <c r="H16" i="4"/>
  <c r="F16" i="4" s="1"/>
  <c r="G19" i="4"/>
  <c r="H20" i="4"/>
  <c r="F20" i="4" s="1"/>
  <c r="H24" i="4"/>
  <c r="F24" i="4" s="1"/>
  <c r="G27" i="4"/>
  <c r="I28" i="4"/>
  <c r="F28" i="4" s="1"/>
  <c r="G29" i="4"/>
  <c r="L29" i="4"/>
  <c r="I33" i="4"/>
  <c r="K33" i="4"/>
  <c r="K35" i="4"/>
  <c r="G35" i="4"/>
  <c r="L35" i="4"/>
  <c r="H37" i="4"/>
  <c r="J38" i="4"/>
  <c r="I39" i="4"/>
  <c r="F39" i="4" s="1"/>
  <c r="E39" i="4" s="1"/>
  <c r="F38" i="4"/>
  <c r="F30" i="4"/>
  <c r="M38" i="4" l="1"/>
  <c r="M9" i="4"/>
  <c r="M27" i="4"/>
  <c r="M19" i="4"/>
  <c r="M10" i="4"/>
  <c r="M16" i="4"/>
  <c r="M36" i="4"/>
  <c r="M39" i="4"/>
  <c r="P39" i="4" s="1"/>
  <c r="M35" i="4"/>
  <c r="M21" i="4"/>
  <c r="N21" i="4" s="1"/>
  <c r="F10" i="4"/>
  <c r="F6" i="4"/>
  <c r="E6" i="4" s="1"/>
  <c r="M17" i="4"/>
  <c r="P17" i="4" s="1"/>
  <c r="M25" i="4"/>
  <c r="M28" i="4"/>
  <c r="F29" i="4"/>
  <c r="E29" i="4" s="1"/>
  <c r="M6" i="4"/>
  <c r="E36" i="4"/>
  <c r="M12" i="4"/>
  <c r="F25" i="4"/>
  <c r="E25" i="4" s="1"/>
  <c r="M11" i="4"/>
  <c r="E18" i="4"/>
  <c r="E16" i="4"/>
  <c r="F9" i="4"/>
  <c r="E9" i="4" s="1"/>
  <c r="N9" i="4" s="1"/>
  <c r="F33" i="4"/>
  <c r="M18" i="4"/>
  <c r="M8" i="4"/>
  <c r="F35" i="4"/>
  <c r="E35" i="4" s="1"/>
  <c r="M33" i="4"/>
  <c r="E11" i="4"/>
  <c r="M37" i="4"/>
  <c r="F26" i="4"/>
  <c r="E26" i="4" s="1"/>
  <c r="N26" i="4" s="1"/>
  <c r="F27" i="4"/>
  <c r="E30" i="4"/>
  <c r="M29" i="4"/>
  <c r="M30" i="4"/>
  <c r="F19" i="4"/>
  <c r="E19" i="4" s="1"/>
  <c r="M7" i="4"/>
  <c r="F7" i="4"/>
  <c r="E7" i="4" s="1"/>
  <c r="F34" i="4"/>
  <c r="E34" i="4" s="1"/>
  <c r="N34" i="4" s="1"/>
  <c r="F12" i="4"/>
  <c r="F8" i="4"/>
  <c r="E8" i="4" s="1"/>
  <c r="E38" i="4"/>
  <c r="M24" i="4"/>
  <c r="E28" i="4"/>
  <c r="E10" i="4"/>
  <c r="F37" i="4"/>
  <c r="E12" i="4"/>
  <c r="E20" i="4"/>
  <c r="P20" i="4" s="1"/>
  <c r="E24" i="4"/>
  <c r="E33" i="4"/>
  <c r="S2" i="4"/>
  <c r="R2" i="6" s="1"/>
  <c r="E15" i="4"/>
  <c r="P15" i="4" s="1"/>
  <c r="N38" i="4" l="1"/>
  <c r="P36" i="4"/>
  <c r="N10" i="4"/>
  <c r="N16" i="4"/>
  <c r="N39" i="4"/>
  <c r="P11" i="4"/>
  <c r="N33" i="4"/>
  <c r="N17" i="4"/>
  <c r="P21" i="4"/>
  <c r="P25" i="4"/>
  <c r="P6" i="4"/>
  <c r="N12" i="4"/>
  <c r="N8" i="4"/>
  <c r="N28" i="4"/>
  <c r="N35" i="4"/>
  <c r="P35" i="4"/>
  <c r="P18" i="4"/>
  <c r="N11" i="4"/>
  <c r="P26" i="4"/>
  <c r="N36" i="4"/>
  <c r="N18" i="4"/>
  <c r="N20" i="4"/>
  <c r="P28" i="4"/>
  <c r="P16" i="4"/>
  <c r="N29" i="4"/>
  <c r="P9" i="4"/>
  <c r="P30" i="4"/>
  <c r="E27" i="4"/>
  <c r="N27" i="4" s="1"/>
  <c r="N24" i="4"/>
  <c r="P29" i="4"/>
  <c r="P33" i="4"/>
  <c r="P8" i="4"/>
  <c r="N7" i="4"/>
  <c r="P7" i="4"/>
  <c r="N19" i="4"/>
  <c r="P19" i="4"/>
  <c r="P34" i="4"/>
  <c r="P38" i="4"/>
  <c r="N25" i="4"/>
  <c r="E37" i="4"/>
  <c r="P37" i="4" s="1"/>
  <c r="N30" i="4"/>
  <c r="N6" i="4"/>
  <c r="P10" i="4"/>
  <c r="P24" i="4"/>
  <c r="P12" i="4"/>
  <c r="N15" i="4"/>
  <c r="C10" i="4" l="1"/>
  <c r="A10" i="4" s="1"/>
  <c r="C18" i="4"/>
  <c r="A18" i="4" s="1"/>
  <c r="Q19" i="4"/>
  <c r="C7" i="4"/>
  <c r="A7" i="4" s="1"/>
  <c r="N37" i="4"/>
  <c r="C34" i="4" s="1"/>
  <c r="A34" i="4" s="1"/>
  <c r="C26" i="4"/>
  <c r="A26" i="4" s="1"/>
  <c r="C30" i="4"/>
  <c r="A30" i="4" s="1"/>
  <c r="Q38" i="4"/>
  <c r="C16" i="4"/>
  <c r="A16" i="4" s="1"/>
  <c r="C29" i="4"/>
  <c r="A29" i="4" s="1"/>
  <c r="Q21" i="4"/>
  <c r="Q16" i="4"/>
  <c r="Q20" i="4"/>
  <c r="P27" i="4"/>
  <c r="Q28" i="4" s="1"/>
  <c r="Q11" i="4"/>
  <c r="Q7" i="4"/>
  <c r="Q6" i="4"/>
  <c r="Q8" i="4"/>
  <c r="Q9" i="4"/>
  <c r="Q10" i="4"/>
  <c r="C37" i="4"/>
  <c r="A37" i="4" s="1"/>
  <c r="Q39" i="4"/>
  <c r="Q34" i="4"/>
  <c r="Q35" i="4"/>
  <c r="Q33" i="4"/>
  <c r="C17" i="4"/>
  <c r="A17" i="4" s="1"/>
  <c r="C20" i="4"/>
  <c r="A20" i="4" s="1"/>
  <c r="C15" i="4"/>
  <c r="C21" i="4"/>
  <c r="A21" i="4" s="1"/>
  <c r="C6" i="4"/>
  <c r="C8" i="4"/>
  <c r="A8" i="4" s="1"/>
  <c r="C9" i="4"/>
  <c r="A9" i="4" s="1"/>
  <c r="C11" i="4"/>
  <c r="A11" i="4" s="1"/>
  <c r="Q36" i="4"/>
  <c r="C12" i="4"/>
  <c r="A12" i="4" s="1"/>
  <c r="Q12" i="4"/>
  <c r="C19" i="4"/>
  <c r="A19" i="4" s="1"/>
  <c r="C25" i="4"/>
  <c r="A25" i="4" s="1"/>
  <c r="C27" i="4"/>
  <c r="A27" i="4" s="1"/>
  <c r="C24" i="4"/>
  <c r="C28" i="4"/>
  <c r="A28" i="4" s="1"/>
  <c r="Q18" i="4"/>
  <c r="Q17" i="4"/>
  <c r="Q37" i="4"/>
  <c r="Q15" i="4"/>
  <c r="C35" i="4" l="1"/>
  <c r="A35" i="4" s="1"/>
  <c r="C39" i="4"/>
  <c r="A39" i="4" s="1"/>
  <c r="C33" i="4"/>
  <c r="A33" i="4" s="1"/>
  <c r="Q25" i="4"/>
  <c r="B27" i="5" s="1"/>
  <c r="Q29" i="4"/>
  <c r="B26" i="5" s="1"/>
  <c r="Q27" i="4"/>
  <c r="C38" i="4"/>
  <c r="A38" i="4" s="1"/>
  <c r="C36" i="4"/>
  <c r="A36" i="4" s="1"/>
  <c r="Q26" i="4"/>
  <c r="B25" i="5" s="1"/>
  <c r="Q30" i="4"/>
  <c r="Q24" i="4"/>
  <c r="A24" i="4"/>
  <c r="K27" i="5"/>
  <c r="G26" i="5"/>
  <c r="C25" i="5"/>
  <c r="K23" i="5"/>
  <c r="G22" i="5"/>
  <c r="B28" i="5"/>
  <c r="J26" i="5"/>
  <c r="H26" i="5"/>
  <c r="L28" i="5"/>
  <c r="E26" i="5"/>
  <c r="H24" i="5"/>
  <c r="J22" i="5"/>
  <c r="F26" i="5"/>
  <c r="H23" i="5"/>
  <c r="J25" i="5"/>
  <c r="D26" i="5"/>
  <c r="F23" i="5"/>
  <c r="E28" i="5"/>
  <c r="F24" i="5"/>
  <c r="H22" i="5"/>
  <c r="K28" i="5"/>
  <c r="G27" i="5"/>
  <c r="C26" i="5"/>
  <c r="K24" i="5"/>
  <c r="G23" i="5"/>
  <c r="C22" i="5"/>
  <c r="J27" i="5"/>
  <c r="H28" i="5"/>
  <c r="D28" i="5"/>
  <c r="L25" i="5"/>
  <c r="E22" i="5"/>
  <c r="H25" i="5"/>
  <c r="M22" i="5"/>
  <c r="J23" i="5"/>
  <c r="E25" i="5"/>
  <c r="L22" i="5"/>
  <c r="M26" i="5"/>
  <c r="L23" i="5"/>
  <c r="M27" i="5"/>
  <c r="G28" i="5"/>
  <c r="K25" i="5"/>
  <c r="C23" i="5"/>
  <c r="F27" i="5"/>
  <c r="I25" i="5"/>
  <c r="F25" i="5"/>
  <c r="M28" i="5"/>
  <c r="F22" i="5"/>
  <c r="I24" i="5"/>
  <c r="M25" i="5"/>
  <c r="L24" i="5"/>
  <c r="D27" i="5"/>
  <c r="D23" i="5"/>
  <c r="E27" i="5"/>
  <c r="I22" i="5"/>
  <c r="C28" i="5"/>
  <c r="G25" i="5"/>
  <c r="K22" i="5"/>
  <c r="D25" i="5"/>
  <c r="M24" i="5"/>
  <c r="I27" i="5"/>
  <c r="I26" i="5"/>
  <c r="M23" i="5"/>
  <c r="C27" i="5"/>
  <c r="G24" i="5"/>
  <c r="J28" i="5"/>
  <c r="L27" i="5"/>
  <c r="H27" i="5"/>
  <c r="I23" i="5"/>
  <c r="J24" i="5"/>
  <c r="I28" i="5"/>
  <c r="D22" i="5"/>
  <c r="E23" i="5"/>
  <c r="K26" i="5"/>
  <c r="C24" i="5"/>
  <c r="F28" i="5"/>
  <c r="L26" i="5"/>
  <c r="D24" i="5"/>
  <c r="E24" i="5"/>
  <c r="C19" i="5"/>
  <c r="K17" i="5"/>
  <c r="G16" i="5"/>
  <c r="C15" i="5"/>
  <c r="K13" i="5"/>
  <c r="F19" i="5"/>
  <c r="I17" i="5"/>
  <c r="L15" i="5"/>
  <c r="B14" i="5"/>
  <c r="D19" i="5"/>
  <c r="L16" i="5"/>
  <c r="F14" i="5"/>
  <c r="I19" i="5"/>
  <c r="A15" i="4"/>
  <c r="K18" i="5"/>
  <c r="G17" i="5"/>
  <c r="C16" i="5"/>
  <c r="K14" i="5"/>
  <c r="G13" i="5"/>
  <c r="M18" i="5"/>
  <c r="D17" i="5"/>
  <c r="F15" i="5"/>
  <c r="I13" i="5"/>
  <c r="I18" i="5"/>
  <c r="D16" i="5"/>
  <c r="L13" i="5"/>
  <c r="B19" i="5"/>
  <c r="I16" i="5"/>
  <c r="E14" i="5"/>
  <c r="L18" i="5"/>
  <c r="H16" i="5"/>
  <c r="D14" i="5"/>
  <c r="M13" i="5"/>
  <c r="H17" i="5"/>
  <c r="I14" i="5"/>
  <c r="G18" i="5"/>
  <c r="K15" i="5"/>
  <c r="C13" i="5"/>
  <c r="J16" i="5"/>
  <c r="D13" i="5"/>
  <c r="I15" i="5"/>
  <c r="F18" i="5"/>
  <c r="H15" i="5"/>
  <c r="H19" i="5"/>
  <c r="M15" i="5"/>
  <c r="J18" i="5"/>
  <c r="F13" i="5"/>
  <c r="K16" i="5"/>
  <c r="B18" i="5"/>
  <c r="H14" i="5"/>
  <c r="M19" i="5"/>
  <c r="B13" i="5"/>
  <c r="H13" i="5"/>
  <c r="J15" i="5"/>
  <c r="C18" i="5"/>
  <c r="G15" i="5"/>
  <c r="L19" i="5"/>
  <c r="E16" i="5"/>
  <c r="J19" i="5"/>
  <c r="B15" i="5"/>
  <c r="L17" i="5"/>
  <c r="L14" i="5"/>
  <c r="E18" i="5"/>
  <c r="E15" i="5"/>
  <c r="F16" i="5"/>
  <c r="D15" i="5"/>
  <c r="K19" i="5"/>
  <c r="C17" i="5"/>
  <c r="G14" i="5"/>
  <c r="H18" i="5"/>
  <c r="M14" i="5"/>
  <c r="M17" i="5"/>
  <c r="E13" i="5"/>
  <c r="E17" i="5"/>
  <c r="J13" i="5"/>
  <c r="J17" i="5"/>
  <c r="J14" i="5"/>
  <c r="D18" i="5"/>
  <c r="E19" i="5"/>
  <c r="G19" i="5"/>
  <c r="C14" i="5"/>
  <c r="F17" i="5"/>
  <c r="B16" i="5"/>
  <c r="B17" i="5"/>
  <c r="M16" i="5"/>
  <c r="K10" i="5"/>
  <c r="J9" i="5"/>
  <c r="F8" i="5"/>
  <c r="B7" i="5"/>
  <c r="J5" i="5"/>
  <c r="F4" i="5"/>
  <c r="K9" i="5"/>
  <c r="M7" i="5"/>
  <c r="D6" i="5"/>
  <c r="G4" i="5"/>
  <c r="D9" i="5"/>
  <c r="G7" i="5"/>
  <c r="I5" i="5"/>
  <c r="M10" i="5"/>
  <c r="C9" i="5"/>
  <c r="E7" i="5"/>
  <c r="H5" i="5"/>
  <c r="L9" i="5"/>
  <c r="G9" i="5"/>
  <c r="L10" i="5"/>
  <c r="E10" i="5"/>
  <c r="F10" i="5"/>
  <c r="J8" i="5"/>
  <c r="J6" i="5"/>
  <c r="B5" i="5"/>
  <c r="D10" i="5"/>
  <c r="H7" i="5"/>
  <c r="E5" i="5"/>
  <c r="I9" i="5"/>
  <c r="M6" i="5"/>
  <c r="K4" i="5"/>
  <c r="H9" i="5"/>
  <c r="L6" i="5"/>
  <c r="I4" i="5"/>
  <c r="H4" i="5"/>
  <c r="M8" i="5"/>
  <c r="K6" i="5"/>
  <c r="M5" i="5"/>
  <c r="J10" i="5"/>
  <c r="F7" i="5"/>
  <c r="F5" i="5"/>
  <c r="G8" i="5"/>
  <c r="C10" i="5"/>
  <c r="L7" i="5"/>
  <c r="M9" i="5"/>
  <c r="C5" i="5"/>
  <c r="E6" i="5"/>
  <c r="H8" i="5"/>
  <c r="B10" i="5"/>
  <c r="B8" i="5"/>
  <c r="F6" i="5"/>
  <c r="J4" i="5"/>
  <c r="E9" i="5"/>
  <c r="C7" i="5"/>
  <c r="L4" i="5"/>
  <c r="K8" i="5"/>
  <c r="H6" i="5"/>
  <c r="E4" i="5"/>
  <c r="I8" i="5"/>
  <c r="G6" i="5"/>
  <c r="D4" i="5"/>
  <c r="I7" i="5"/>
  <c r="D7" i="5"/>
  <c r="M4" i="5"/>
  <c r="A6" i="4"/>
  <c r="F9" i="5"/>
  <c r="J7" i="5"/>
  <c r="B6" i="5"/>
  <c r="B4" i="5"/>
  <c r="L8" i="5"/>
  <c r="I6" i="5"/>
  <c r="H10" i="5"/>
  <c r="E8" i="5"/>
  <c r="C6" i="5"/>
  <c r="G10" i="5"/>
  <c r="D8" i="5"/>
  <c r="C8" i="5"/>
  <c r="L5" i="5"/>
  <c r="G5" i="5"/>
  <c r="B9" i="5"/>
  <c r="I10" i="5"/>
  <c r="K5" i="5"/>
  <c r="D5" i="5"/>
  <c r="K7" i="5"/>
  <c r="C4" i="5"/>
  <c r="B23" i="5" l="1"/>
  <c r="L31" i="5"/>
  <c r="J32" i="5"/>
  <c r="B32" i="5"/>
  <c r="C32" i="5"/>
  <c r="G32" i="5"/>
  <c r="H32" i="5"/>
  <c r="L32" i="5"/>
  <c r="C31" i="5"/>
  <c r="E32" i="5"/>
  <c r="H31" i="5"/>
  <c r="K31" i="5"/>
  <c r="I32" i="5"/>
  <c r="G31" i="5"/>
  <c r="E31" i="5"/>
  <c r="D31" i="5"/>
  <c r="M32" i="5"/>
  <c r="J31" i="5"/>
  <c r="I31" i="5"/>
  <c r="M31" i="5"/>
  <c r="F32" i="5"/>
  <c r="B31" i="5"/>
  <c r="F31" i="5"/>
  <c r="D32" i="5"/>
  <c r="K32" i="5"/>
  <c r="K37" i="5"/>
  <c r="H37" i="5"/>
  <c r="J37" i="5"/>
  <c r="B37" i="5"/>
  <c r="B33" i="5"/>
  <c r="M33" i="5"/>
  <c r="L33" i="5"/>
  <c r="C33" i="5"/>
  <c r="J33" i="5"/>
  <c r="F33" i="5"/>
  <c r="H33" i="5"/>
  <c r="D33" i="5"/>
  <c r="I33" i="5"/>
  <c r="K33" i="5"/>
  <c r="G33" i="5"/>
  <c r="E33" i="5"/>
  <c r="C35" i="5"/>
  <c r="B22" i="5"/>
  <c r="L36" i="5"/>
  <c r="M34" i="5"/>
  <c r="D36" i="5"/>
  <c r="E34" i="5"/>
  <c r="G35" i="5"/>
  <c r="B24" i="5"/>
  <c r="M35" i="5"/>
  <c r="M37" i="5"/>
  <c r="K34" i="5"/>
  <c r="H34" i="5"/>
  <c r="I36" i="5"/>
  <c r="E36" i="5"/>
  <c r="B34" i="5"/>
  <c r="G36" i="5"/>
  <c r="D34" i="5"/>
  <c r="H35" i="5"/>
  <c r="I37" i="5"/>
  <c r="F36" i="5"/>
  <c r="F34" i="5"/>
  <c r="F37" i="5"/>
  <c r="J34" i="5"/>
  <c r="D37" i="5"/>
  <c r="H36" i="5"/>
  <c r="L37" i="5"/>
  <c r="C37" i="5"/>
  <c r="J36" i="5"/>
  <c r="C36" i="5"/>
  <c r="D35" i="5"/>
  <c r="E37" i="5"/>
  <c r="I34" i="5"/>
  <c r="C34" i="5"/>
  <c r="K36" i="5"/>
  <c r="B35" i="5"/>
  <c r="E35" i="5"/>
  <c r="G37" i="5"/>
  <c r="F35" i="5"/>
  <c r="K35" i="5"/>
  <c r="I35" i="5"/>
  <c r="L35" i="5"/>
  <c r="G34" i="5"/>
  <c r="M36" i="5"/>
  <c r="B36" i="5"/>
  <c r="J35" i="5"/>
  <c r="L34" i="5"/>
  <c r="E69" i="4"/>
  <c r="E61" i="4"/>
  <c r="E50" i="4"/>
  <c r="E42" i="4"/>
  <c r="D65" i="4"/>
  <c r="D54" i="4"/>
  <c r="D46" i="4"/>
  <c r="D68" i="4"/>
  <c r="D49" i="4"/>
  <c r="E62" i="4"/>
  <c r="E43" i="4"/>
  <c r="D55" i="4"/>
  <c r="E64" i="4"/>
  <c r="E72" i="4"/>
  <c r="E54" i="4"/>
  <c r="E46" i="4"/>
  <c r="D61" i="4"/>
  <c r="D57" i="4"/>
  <c r="E51" i="4"/>
  <c r="D66" i="4"/>
  <c r="E57" i="4"/>
  <c r="E68" i="4"/>
  <c r="E71" i="4"/>
  <c r="E63" i="4"/>
  <c r="E52" i="4"/>
  <c r="E44" i="4"/>
  <c r="D67" i="4"/>
  <c r="D56" i="4"/>
  <c r="D48" i="4"/>
  <c r="D72" i="4"/>
  <c r="D53" i="4"/>
  <c r="E66" i="4"/>
  <c r="E47" i="4"/>
  <c r="D62" i="4"/>
  <c r="D43" i="4"/>
  <c r="E49" i="4"/>
  <c r="E67" i="4"/>
  <c r="E56" i="4"/>
  <c r="E48" i="4"/>
  <c r="D71" i="4"/>
  <c r="D63" i="4"/>
  <c r="D52" i="4"/>
  <c r="D44" i="4"/>
  <c r="D64" i="4"/>
  <c r="D45" i="4"/>
  <c r="E55" i="4"/>
  <c r="D70" i="4"/>
  <c r="D51" i="4"/>
  <c r="E45" i="4"/>
  <c r="E53" i="4"/>
  <c r="E65" i="4"/>
  <c r="D69" i="4"/>
  <c r="D50" i="4"/>
  <c r="D42" i="4"/>
  <c r="E70" i="4"/>
  <c r="D47" i="4"/>
  <c r="C49" i="4" l="1"/>
  <c r="C66" i="4"/>
  <c r="C63" i="4"/>
  <c r="C46" i="4"/>
  <c r="C42" i="4"/>
  <c r="C70" i="4"/>
  <c r="C65" i="4"/>
  <c r="C48" i="4"/>
  <c r="C71" i="4"/>
  <c r="C51" i="4"/>
  <c r="C54" i="4"/>
  <c r="C43" i="4"/>
  <c r="C50" i="4"/>
  <c r="C53" i="4"/>
  <c r="C55" i="4"/>
  <c r="C56" i="4"/>
  <c r="C44" i="4"/>
  <c r="C68" i="4"/>
  <c r="C72" i="4"/>
  <c r="C62" i="4"/>
  <c r="C61" i="4"/>
  <c r="C45" i="4"/>
  <c r="C67" i="4"/>
  <c r="C47" i="4"/>
  <c r="C52" i="4"/>
  <c r="C57" i="4"/>
  <c r="C64" i="4"/>
  <c r="C69" i="4"/>
  <c r="F12" i="6" l="1"/>
  <c r="F8" i="6"/>
  <c r="B12" i="6"/>
  <c r="B8" i="6"/>
  <c r="F11" i="6"/>
  <c r="F7" i="6"/>
  <c r="B11" i="6"/>
  <c r="B7" i="6"/>
  <c r="F10" i="6"/>
  <c r="F6" i="6"/>
  <c r="B10" i="6"/>
  <c r="B6" i="6"/>
  <c r="F9" i="6"/>
  <c r="F5" i="6"/>
  <c r="B9" i="6"/>
  <c r="B5" i="6"/>
  <c r="C31" i="7"/>
  <c r="C26" i="7"/>
  <c r="C21" i="7"/>
  <c r="C25" i="7"/>
  <c r="C27" i="7"/>
  <c r="C22" i="7"/>
  <c r="C28" i="7"/>
  <c r="C29" i="7"/>
  <c r="C20" i="7"/>
  <c r="C23" i="7"/>
  <c r="C24" i="7"/>
  <c r="C30" i="7"/>
  <c r="N7" i="6" l="1"/>
  <c r="O7" i="6" s="1"/>
  <c r="AA7" i="6"/>
  <c r="W7" i="6"/>
  <c r="Z7" i="6"/>
  <c r="AC7" i="6"/>
  <c r="R7" i="6"/>
  <c r="S7" i="6" s="1"/>
  <c r="U7" i="6"/>
  <c r="R12" i="6"/>
  <c r="S12" i="6" s="1"/>
  <c r="AA12" i="6"/>
  <c r="Z12" i="6"/>
  <c r="U12" i="6"/>
  <c r="N12" i="6"/>
  <c r="O12" i="6" s="1"/>
  <c r="W12" i="6"/>
  <c r="AC12" i="6"/>
  <c r="Z11" i="6"/>
  <c r="R11" i="6"/>
  <c r="S11" i="6" s="1"/>
  <c r="AA11" i="6"/>
  <c r="W11" i="6"/>
  <c r="AC11" i="6"/>
  <c r="U11" i="6"/>
  <c r="N11" i="6"/>
  <c r="O11" i="6" s="1"/>
  <c r="N9" i="6"/>
  <c r="O9" i="6" s="1"/>
  <c r="X9" i="6"/>
  <c r="AA9" i="6"/>
  <c r="AC9" i="6"/>
  <c r="R9" i="6"/>
  <c r="S9" i="6" s="1"/>
  <c r="Y9" i="6"/>
  <c r="U9" i="6"/>
  <c r="AC8" i="6"/>
  <c r="R8" i="6"/>
  <c r="S8" i="6" s="1"/>
  <c r="Y8" i="6"/>
  <c r="U8" i="6"/>
  <c r="N8" i="6"/>
  <c r="O8" i="6" s="1"/>
  <c r="X8" i="6"/>
  <c r="AA8" i="6"/>
  <c r="N10" i="6"/>
  <c r="O10" i="6" s="1"/>
  <c r="X10" i="6"/>
  <c r="AA10" i="6"/>
  <c r="R10" i="6"/>
  <c r="S10" i="6" s="1"/>
  <c r="Y10" i="6"/>
  <c r="U10" i="6"/>
  <c r="AC10" i="6"/>
  <c r="N6" i="6"/>
  <c r="O6" i="6" s="1"/>
  <c r="AA6" i="6"/>
  <c r="W6" i="6"/>
  <c r="R6" i="6"/>
  <c r="S6" i="6" s="1"/>
  <c r="U6" i="6"/>
  <c r="Z6" i="6"/>
  <c r="AC6" i="6"/>
  <c r="Z5" i="6"/>
  <c r="AC5" i="6"/>
  <c r="R5" i="6"/>
  <c r="S5" i="6" s="1"/>
  <c r="U5" i="6"/>
  <c r="W5" i="6"/>
  <c r="N5" i="6"/>
  <c r="O5" i="6" s="1"/>
  <c r="AA5" i="6"/>
  <c r="Q7" i="6" l="1"/>
  <c r="M7" i="6"/>
  <c r="M12" i="6"/>
  <c r="Q12" i="6"/>
  <c r="M11" i="6"/>
  <c r="Q11" i="6"/>
  <c r="Q9" i="6"/>
  <c r="M9" i="6"/>
  <c r="M5" i="6"/>
  <c r="B15" i="6" s="1"/>
  <c r="Q10" i="6"/>
  <c r="Q8" i="6"/>
  <c r="M8" i="6"/>
  <c r="Q6" i="6"/>
  <c r="M10" i="6"/>
  <c r="Q5" i="6"/>
  <c r="M6" i="6"/>
  <c r="AA15" i="6" l="1"/>
  <c r="Z15" i="6"/>
  <c r="R15" i="6"/>
  <c r="S15" i="6" s="1"/>
  <c r="C14" i="7"/>
  <c r="C16" i="7"/>
  <c r="C13" i="7"/>
  <c r="C15" i="7"/>
  <c r="C17" i="7"/>
  <c r="C19" i="7"/>
  <c r="C18" i="7"/>
  <c r="F15" i="6"/>
  <c r="C12" i="7"/>
  <c r="B18" i="6"/>
  <c r="B16" i="6"/>
  <c r="F16" i="6"/>
  <c r="F18" i="6"/>
  <c r="B17" i="6"/>
  <c r="F17" i="6"/>
  <c r="N15" i="6" l="1"/>
  <c r="O15" i="6" s="1"/>
  <c r="W15" i="6"/>
  <c r="AC15" i="6"/>
  <c r="U15" i="6"/>
  <c r="N18" i="6"/>
  <c r="O18" i="6" s="1"/>
  <c r="X18" i="6"/>
  <c r="AA18" i="6"/>
  <c r="R18" i="6"/>
  <c r="S18" i="6" s="1"/>
  <c r="Y18" i="6"/>
  <c r="U18" i="6"/>
  <c r="AC18" i="6"/>
  <c r="AC17" i="6"/>
  <c r="R17" i="6"/>
  <c r="S17" i="6" s="1"/>
  <c r="Y17" i="6"/>
  <c r="U17" i="6"/>
  <c r="N17" i="6"/>
  <c r="O17" i="6" s="1"/>
  <c r="X17" i="6"/>
  <c r="AA17" i="6"/>
  <c r="R16" i="6"/>
  <c r="S16" i="6" s="1"/>
  <c r="U16" i="6"/>
  <c r="Z16" i="6"/>
  <c r="AC16" i="6"/>
  <c r="N16" i="6"/>
  <c r="O16" i="6" s="1"/>
  <c r="AA16" i="6"/>
  <c r="W16" i="6"/>
  <c r="Q15" i="6" l="1"/>
  <c r="M15" i="6"/>
  <c r="Q18" i="6"/>
  <c r="M16" i="6"/>
  <c r="M18" i="6"/>
  <c r="Q17" i="6"/>
  <c r="Q16" i="6"/>
  <c r="M17" i="6"/>
  <c r="F21" i="6" l="1"/>
  <c r="Z21" i="6" s="1"/>
  <c r="C11" i="7"/>
  <c r="U21" i="6"/>
  <c r="B22" i="6"/>
  <c r="C10" i="7"/>
  <c r="B21" i="6"/>
  <c r="C8" i="7"/>
  <c r="C9" i="7"/>
  <c r="F22" i="6"/>
  <c r="R21" i="6" l="1"/>
  <c r="S21" i="6" s="1"/>
  <c r="AC21" i="6"/>
  <c r="R22" i="6"/>
  <c r="S22" i="6" s="1"/>
  <c r="Q22" i="6" s="1"/>
  <c r="U22" i="6"/>
  <c r="Z22" i="6"/>
  <c r="AC22" i="6"/>
  <c r="N22" i="6"/>
  <c r="O22" i="6" s="1"/>
  <c r="AA22" i="6"/>
  <c r="W22" i="6"/>
  <c r="W21" i="6"/>
  <c r="N21" i="6"/>
  <c r="O21" i="6" s="1"/>
  <c r="AA21" i="6"/>
  <c r="M22" i="6" l="1"/>
  <c r="M21" i="6"/>
  <c r="Q21" i="6"/>
  <c r="F28" i="6" l="1"/>
  <c r="AC28" i="6" s="1"/>
  <c r="B28" i="6"/>
  <c r="N28" i="6" s="1"/>
  <c r="O28" i="6" s="1"/>
  <c r="M28" i="6" s="1"/>
  <c r="B25" i="6"/>
  <c r="F25" i="6"/>
  <c r="U28" i="6" l="1"/>
  <c r="R28" i="6"/>
  <c r="S28" i="6" s="1"/>
  <c r="Q28" i="6" s="1"/>
  <c r="Z28" i="6"/>
  <c r="W28" i="6"/>
  <c r="AA28" i="6"/>
  <c r="AC25" i="6"/>
  <c r="R25" i="6"/>
  <c r="Y25" i="6"/>
  <c r="U25" i="6"/>
  <c r="N25" i="6"/>
  <c r="X25" i="6"/>
  <c r="AA25" i="6"/>
  <c r="C4" i="7"/>
  <c r="C5" i="7"/>
  <c r="S25" i="6" l="1"/>
  <c r="Q25" i="6" s="1"/>
  <c r="C7" i="7"/>
  <c r="O25" i="6"/>
  <c r="M25" i="6" s="1"/>
  <c r="C6" i="7"/>
</calcChain>
</file>

<file path=xl/sharedStrings.xml><?xml version="1.0" encoding="utf-8"?>
<sst xmlns="http://schemas.openxmlformats.org/spreadsheetml/2006/main" count="709" uniqueCount="150">
  <si>
    <t>2° ETAPA EQUIPES DADINHO FPFM 2023 - Teste - 02/04/2023 - Equipes</t>
  </si>
  <si>
    <t>JJFUTMESA - jjoliveirajr@jjfutmesa.com.br</t>
  </si>
  <si>
    <t>2° ETAPA EQUIPES DADINHO FPFM 2023 - Teste - 02/04/2023 - Grupos</t>
  </si>
  <si>
    <t>Grupo A</t>
  </si>
  <si>
    <t>Grupo B</t>
  </si>
  <si>
    <t>Grupo C</t>
  </si>
  <si>
    <t>Grupo D</t>
  </si>
  <si>
    <t>2° ETAPA EQUIPES DADINHO FPFM 2023 - Teste - 02/04/2023 - Jogos</t>
  </si>
  <si>
    <t>TJ</t>
  </si>
  <si>
    <t>1ª rodada</t>
  </si>
  <si>
    <t>Mesa</t>
  </si>
  <si>
    <t>Grupo</t>
  </si>
  <si>
    <t>Rodada</t>
  </si>
  <si>
    <t>J</t>
  </si>
  <si>
    <t>V</t>
  </si>
  <si>
    <t>E</t>
  </si>
  <si>
    <t>D</t>
  </si>
  <si>
    <t>M</t>
  </si>
  <si>
    <t>GPm</t>
  </si>
  <si>
    <t>GPv</t>
  </si>
  <si>
    <t>GCv</t>
  </si>
  <si>
    <t>x</t>
  </si>
  <si>
    <t>A</t>
  </si>
  <si>
    <t>B</t>
  </si>
  <si>
    <t>C</t>
  </si>
  <si>
    <t>2ª rodada</t>
  </si>
  <si>
    <t>3ª rodada</t>
  </si>
  <si>
    <t>4ª rodada</t>
  </si>
  <si>
    <t>5ª rodada</t>
  </si>
  <si>
    <t>6ª rodada</t>
  </si>
  <si>
    <t>7ª rodada</t>
  </si>
  <si>
    <t>2° ETAPA EQUIPES DADINHO FPFM 2023 - Teste - 02/04/2023 - ClassGrupFases</t>
  </si>
  <si>
    <t>Key</t>
  </si>
  <si>
    <t>Atletas</t>
  </si>
  <si>
    <t>%AP</t>
  </si>
  <si>
    <t>PTS</t>
  </si>
  <si>
    <t>GP</t>
  </si>
  <si>
    <t>GC</t>
  </si>
  <si>
    <t>SG</t>
  </si>
  <si>
    <t>ID</t>
  </si>
  <si>
    <t>TR</t>
  </si>
  <si>
    <t>2° ETAPA EQUIPES DADINHO FPFM 2023 - Teste - 02/04/2023 - Classificação</t>
  </si>
  <si>
    <t>IN</t>
  </si>
  <si>
    <t>1A</t>
  </si>
  <si>
    <t>1B</t>
  </si>
  <si>
    <t>1C</t>
  </si>
  <si>
    <t>1D</t>
  </si>
  <si>
    <t>2A</t>
  </si>
  <si>
    <t>2B</t>
  </si>
  <si>
    <t>2C</t>
  </si>
  <si>
    <t>2D</t>
  </si>
  <si>
    <t>3A</t>
  </si>
  <si>
    <t>3B</t>
  </si>
  <si>
    <t>3C</t>
  </si>
  <si>
    <t>3D</t>
  </si>
  <si>
    <t>4A</t>
  </si>
  <si>
    <t>4B</t>
  </si>
  <si>
    <t>4C</t>
  </si>
  <si>
    <t>4D</t>
  </si>
  <si>
    <t>OUT</t>
  </si>
  <si>
    <t>5A</t>
  </si>
  <si>
    <t>6A</t>
  </si>
  <si>
    <t>7A</t>
  </si>
  <si>
    <t>5B</t>
  </si>
  <si>
    <t>6B</t>
  </si>
  <si>
    <t>7B</t>
  </si>
  <si>
    <t>5C</t>
  </si>
  <si>
    <t>6C</t>
  </si>
  <si>
    <t>7C</t>
  </si>
  <si>
    <t>5D</t>
  </si>
  <si>
    <t>6D</t>
  </si>
  <si>
    <t>7D</t>
  </si>
  <si>
    <t>2° ETAPA EQUIPES DADINHO FPFM 2023 - Teste - 02/04/2023 - FINAIS</t>
  </si>
  <si>
    <t>CHECK</t>
  </si>
  <si>
    <t>Oitavas de Final</t>
  </si>
  <si>
    <t>RODADA ÚNICA</t>
  </si>
  <si>
    <t>MESA</t>
  </si>
  <si>
    <t>PASSA</t>
  </si>
  <si>
    <t>NÃO PASSA</t>
  </si>
  <si>
    <t>Quartas de Final</t>
  </si>
  <si>
    <t>Semifinais</t>
  </si>
  <si>
    <t>Disputa de 3º lugar</t>
  </si>
  <si>
    <t>Final</t>
  </si>
  <si>
    <t>CLASSIFICAÇÃO FINAL</t>
  </si>
  <si>
    <t>2° ETAPA EQUIPES DADINHO FPFM 2023 - Teste - 02/04/2023 - Premiação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</si>
  <si>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</si>
  <si>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</si>
  <si>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</si>
  <si>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</si>
  <si>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</si>
  <si>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</si>
  <si>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</si>
  <si>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</si>
  <si>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</si>
  <si>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</si>
  <si>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</si>
  <si>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</si>
  <si>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</si>
  <si>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</si>
  <si>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</si>
  <si>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</si>
  <si>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</si>
  <si>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</si>
  <si>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</si>
  <si>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</si>
  <si>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</si>
  <si>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</si>
  <si>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</si>
  <si>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</si>
  <si>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25º</t>
  </si>
  <si>
    <t>26º</t>
  </si>
  <si>
    <t>27º</t>
  </si>
  <si>
    <t>28º</t>
  </si>
  <si>
    <t>Willow</t>
  </si>
  <si>
    <t>DJ Iury</t>
  </si>
  <si>
    <t>Luiz Coelho</t>
  </si>
  <si>
    <t>Afonso</t>
  </si>
  <si>
    <t>Sergio Barreira</t>
  </si>
  <si>
    <t>Pepe</t>
  </si>
  <si>
    <t>Cortez</t>
  </si>
  <si>
    <t>Teruel</t>
  </si>
  <si>
    <t>Tupinamba</t>
  </si>
  <si>
    <t>Ruas</t>
  </si>
  <si>
    <t>Mario</t>
  </si>
  <si>
    <t>Reginaldo</t>
  </si>
  <si>
    <t>Léo Carioca</t>
  </si>
  <si>
    <t>Elsio</t>
  </si>
  <si>
    <t>Vinicius Rolim</t>
  </si>
  <si>
    <t>Professor</t>
  </si>
  <si>
    <t>Diogo</t>
  </si>
  <si>
    <t>Felix</t>
  </si>
  <si>
    <t>Rodrigo Moro</t>
  </si>
  <si>
    <t>Erismar</t>
  </si>
  <si>
    <t xml:space="preserve">Marcão </t>
  </si>
  <si>
    <t>Galdeano</t>
  </si>
  <si>
    <t>Luiz Moreira</t>
  </si>
  <si>
    <t>Tabajara</t>
  </si>
  <si>
    <t>Rafael Balieiro</t>
  </si>
  <si>
    <t>Coelho</t>
  </si>
  <si>
    <t>Mario Mili</t>
  </si>
  <si>
    <t>Zé Luiz</t>
  </si>
  <si>
    <t>Mata Mata</t>
  </si>
  <si>
    <t>Leo Carioca</t>
  </si>
  <si>
    <t>mesa</t>
  </si>
  <si>
    <t>SEMI FINAL</t>
  </si>
  <si>
    <t>FINAL</t>
  </si>
  <si>
    <t>*</t>
  </si>
  <si>
    <t>3° e 4° lugar</t>
  </si>
  <si>
    <t>SÉRIE PRATA</t>
  </si>
  <si>
    <t>LISTA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</si>
</sst>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hh:mm\h"/>
    <numFmt numFmtId="165" formatCode="0.0%"/>
    <numFmt numFmtId="166" formatCode="#\º"/>
    <numFmt numFmtId="167" formatCode="hh\.mm\h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indexed="8"/>
      <name val="Copperplate Gothic Bold"/>
      <family val="2"/>
    </font>
    <font>
      <sz val="10"/>
      <color indexed="12"/>
      <name val="Arial"/>
      <family val="2"/>
    </font>
    <font>
      <sz val="12"/>
      <color indexed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10"/>
      <name val="Calibri"/>
      <family val="2"/>
      <scheme val="minor"/>
    </font>
    <font>
      <sz val="8"/>
      <color theme="1"/>
      <name val="Segoe UI Light"/>
      <family val="2"/>
    </font>
    <font>
      <sz val="8"/>
      <color indexed="10"/>
      <name val="Segoe UI Light"/>
      <family val="2"/>
    </font>
    <font>
      <sz val="8"/>
      <color indexed="12"/>
      <name val="Segoe UI Light"/>
      <family val="2"/>
    </font>
    <font>
      <b/>
      <sz val="16"/>
      <color indexed="9"/>
      <name val="Segoe UI Light"/>
      <family val="2"/>
    </font>
    <font>
      <b/>
      <sz val="8"/>
      <color theme="1"/>
      <name val="Segoe UI Light"/>
      <family val="2"/>
    </font>
    <font>
      <sz val="12"/>
      <color theme="1"/>
      <name val="Segoe UI Light"/>
      <family val="2"/>
    </font>
    <font>
      <sz val="8"/>
      <color indexed="9"/>
      <name val="Segoe UI Light"/>
      <family val="2"/>
    </font>
    <font>
      <sz val="12"/>
      <color indexed="9"/>
      <name val="Segoe UI Light"/>
      <family val="2"/>
    </font>
    <font>
      <sz val="12"/>
      <color indexed="8"/>
      <name val="Segoe UI Light"/>
      <family val="2"/>
    </font>
    <font>
      <b/>
      <sz val="12"/>
      <color indexed="9"/>
      <name val="Segoe UI Light"/>
      <family val="2"/>
    </font>
    <font>
      <b/>
      <sz val="12"/>
      <color theme="1"/>
      <name val="Segoe UI Light"/>
      <family val="2"/>
    </font>
    <font>
      <b/>
      <sz val="12"/>
      <color indexed="8"/>
      <name val="Segoe UI Light"/>
      <family val="2"/>
    </font>
    <font>
      <b/>
      <sz val="8"/>
      <color indexed="12"/>
      <name val="Segoe UI Light"/>
      <family val="2"/>
    </font>
    <font>
      <b/>
      <sz val="8"/>
      <color indexed="10"/>
      <name val="Segoe UI Light"/>
      <family val="2"/>
    </font>
    <font>
      <b/>
      <sz val="14"/>
      <color theme="1"/>
      <name val="Segoe UI Light"/>
      <family val="2"/>
    </font>
    <font>
      <b/>
      <sz val="8"/>
      <color indexed="9"/>
      <name val="Segoe UI Light"/>
      <family val="2"/>
    </font>
    <font>
      <b/>
      <sz val="16"/>
      <color indexed="8"/>
      <name val="Copperplate Gothic Bold"/>
      <family val="2"/>
    </font>
    <font>
      <b/>
      <sz val="10"/>
      <color indexed="12"/>
      <name val="Arial"/>
      <family val="2"/>
    </font>
    <font>
      <sz val="10"/>
      <color indexed="23"/>
      <name val="Segoe UI Light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0"/>
        <bgColor indexed="64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2" fillId="2" borderId="0" xfId="0" applyFont="1" applyFill="1" applyProtection="1">
      <protection locked="0"/>
    </xf>
    <xf numFmtId="0" fontId="7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3" borderId="0" xfId="0" applyFont="1" applyFill="1" applyAlignment="1">
      <alignment horizontal="right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0" fontId="8" fillId="3" borderId="0" xfId="0" applyFont="1" applyFill="1" applyAlignment="1">
      <alignment horizontal="right"/>
    </xf>
    <xf numFmtId="164" fontId="7" fillId="3" borderId="0" xfId="0" applyNumberFormat="1" applyFont="1" applyFill="1" applyAlignment="1">
      <alignment horizontal="right"/>
    </xf>
    <xf numFmtId="0" fontId="2" fillId="2" borderId="0" xfId="0" applyFont="1" applyFill="1" applyAlignment="1" applyProtection="1">
      <alignment horizontal="center"/>
      <protection locked="0"/>
    </xf>
    <xf numFmtId="0" fontId="2" fillId="4" borderId="0" xfId="0" applyFont="1" applyFill="1" applyAlignment="1">
      <alignment horizontal="right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left"/>
    </xf>
    <xf numFmtId="0" fontId="8" fillId="4" borderId="0" xfId="0" applyFont="1" applyFill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0" fontId="12" fillId="5" borderId="0" xfId="0" applyFont="1" applyFill="1" applyAlignment="1">
      <alignment horizontal="center"/>
    </xf>
    <xf numFmtId="0" fontId="13" fillId="6" borderId="0" xfId="0" applyFont="1" applyFill="1" applyAlignment="1">
      <alignment horizontal="left"/>
    </xf>
    <xf numFmtId="0" fontId="9" fillId="6" borderId="0" xfId="0" applyFont="1" applyFill="1" applyAlignment="1">
      <alignment horizontal="center"/>
    </xf>
    <xf numFmtId="0" fontId="13" fillId="6" borderId="0" xfId="0" applyFont="1" applyFill="1" applyAlignment="1">
      <alignment horizontal="center"/>
    </xf>
    <xf numFmtId="165" fontId="9" fillId="0" borderId="0" xfId="0" applyNumberFormat="1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0" fontId="15" fillId="0" borderId="0" xfId="0" applyFont="1" applyProtection="1">
      <protection hidden="1"/>
    </xf>
    <xf numFmtId="0" fontId="3" fillId="0" borderId="0" xfId="0" applyFont="1" applyAlignment="1" applyProtection="1">
      <alignment horizontal="left"/>
      <protection hidden="1"/>
    </xf>
    <xf numFmtId="0" fontId="14" fillId="0" borderId="0" xfId="0" applyFont="1" applyAlignment="1" applyProtection="1">
      <alignment horizontal="left"/>
      <protection hidden="1"/>
    </xf>
    <xf numFmtId="0" fontId="14" fillId="0" borderId="0" xfId="0" applyFont="1" applyAlignment="1" applyProtection="1">
      <alignment horizontal="right"/>
      <protection hidden="1"/>
    </xf>
    <xf numFmtId="0" fontId="16" fillId="0" borderId="0" xfId="0" applyFont="1" applyProtection="1">
      <protection hidden="1"/>
    </xf>
    <xf numFmtId="0" fontId="4" fillId="0" borderId="0" xfId="0" applyFont="1" applyAlignment="1" applyProtection="1">
      <alignment horizontal="left"/>
      <protection hidden="1"/>
    </xf>
    <xf numFmtId="0" fontId="18" fillId="5" borderId="2" xfId="0" applyFont="1" applyFill="1" applyBorder="1" applyAlignment="1" applyProtection="1">
      <alignment horizontal="center"/>
      <protection hidden="1"/>
    </xf>
    <xf numFmtId="0" fontId="19" fillId="6" borderId="2" xfId="0" applyFont="1" applyFill="1" applyBorder="1" applyAlignment="1" applyProtection="1">
      <alignment horizontal="left"/>
      <protection hidden="1"/>
    </xf>
    <xf numFmtId="0" fontId="19" fillId="6" borderId="2" xfId="0" applyFont="1" applyFill="1" applyBorder="1" applyAlignment="1" applyProtection="1">
      <alignment horizontal="right"/>
      <protection hidden="1"/>
    </xf>
    <xf numFmtId="166" fontId="14" fillId="0" borderId="2" xfId="0" applyNumberFormat="1" applyFont="1" applyBorder="1" applyAlignment="1" applyProtection="1">
      <alignment horizontal="center"/>
      <protection hidden="1"/>
    </xf>
    <xf numFmtId="0" fontId="14" fillId="0" borderId="2" xfId="0" applyFont="1" applyBorder="1" applyAlignment="1" applyProtection="1">
      <alignment horizontal="left"/>
      <protection hidden="1"/>
    </xf>
    <xf numFmtId="165" fontId="14" fillId="0" borderId="2" xfId="0" applyNumberFormat="1" applyFont="1" applyBorder="1" applyAlignment="1" applyProtection="1">
      <alignment horizontal="right"/>
      <protection hidden="1"/>
    </xf>
    <xf numFmtId="0" fontId="14" fillId="0" borderId="2" xfId="0" applyFont="1" applyBorder="1" applyAlignment="1" applyProtection="1">
      <alignment horizontal="right"/>
      <protection hidden="1"/>
    </xf>
    <xf numFmtId="166" fontId="14" fillId="0" borderId="1" xfId="0" applyNumberFormat="1" applyFont="1" applyBorder="1" applyAlignment="1" applyProtection="1">
      <alignment horizontal="center"/>
      <protection hidden="1"/>
    </xf>
    <xf numFmtId="0" fontId="14" fillId="0" borderId="1" xfId="0" applyFont="1" applyBorder="1" applyAlignment="1" applyProtection="1">
      <alignment horizontal="left"/>
      <protection hidden="1"/>
    </xf>
    <xf numFmtId="165" fontId="14" fillId="0" borderId="1" xfId="0" applyNumberFormat="1" applyFont="1" applyBorder="1" applyAlignment="1" applyProtection="1">
      <alignment horizontal="right"/>
      <protection hidden="1"/>
    </xf>
    <xf numFmtId="0" fontId="14" fillId="0" borderId="1" xfId="0" applyFont="1" applyBorder="1" applyAlignment="1" applyProtection="1">
      <alignment horizontal="right"/>
      <protection hidden="1"/>
    </xf>
    <xf numFmtId="0" fontId="14" fillId="0" borderId="0" xfId="0" applyFont="1" applyAlignment="1" applyProtection="1">
      <alignment horizontal="center"/>
      <protection hidden="1"/>
    </xf>
    <xf numFmtId="0" fontId="12" fillId="7" borderId="0" xfId="0" applyFont="1" applyFill="1" applyAlignment="1">
      <alignment horizontal="center"/>
    </xf>
    <xf numFmtId="0" fontId="12" fillId="8" borderId="0" xfId="0" applyFont="1" applyFill="1" applyAlignment="1">
      <alignment horizont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2" fillId="9" borderId="0" xfId="0" applyFont="1" applyFill="1" applyAlignment="1">
      <alignment horizontal="centerContinuous"/>
    </xf>
    <xf numFmtId="167" fontId="19" fillId="0" borderId="0" xfId="0" applyNumberFormat="1" applyFont="1" applyAlignment="1">
      <alignment horizontal="right"/>
    </xf>
    <xf numFmtId="0" fontId="20" fillId="6" borderId="0" xfId="0" applyFont="1" applyFill="1" applyAlignment="1">
      <alignment horizontal="center"/>
    </xf>
    <xf numFmtId="0" fontId="20" fillId="6" borderId="0" xfId="0" applyFont="1" applyFill="1" applyAlignment="1">
      <alignment horizontal="left"/>
    </xf>
    <xf numFmtId="0" fontId="11" fillId="6" borderId="0" xfId="0" applyFont="1" applyFill="1" applyAlignment="1">
      <alignment horizontal="centerContinuous"/>
    </xf>
    <xf numFmtId="0" fontId="21" fillId="6" borderId="0" xfId="0" applyFont="1" applyFill="1" applyAlignment="1">
      <alignment horizontal="centerContinuous"/>
    </xf>
    <xf numFmtId="0" fontId="10" fillId="6" borderId="0" xfId="0" applyFont="1" applyFill="1" applyAlignment="1">
      <alignment horizontal="centerContinuous"/>
    </xf>
    <xf numFmtId="0" fontId="22" fillId="6" borderId="0" xfId="0" applyFont="1" applyFill="1" applyAlignment="1">
      <alignment horizontal="centerContinuous"/>
    </xf>
    <xf numFmtId="0" fontId="14" fillId="4" borderId="0" xfId="0" applyFont="1" applyFill="1" applyAlignment="1">
      <alignment horizontal="center"/>
    </xf>
    <xf numFmtId="0" fontId="14" fillId="4" borderId="0" xfId="0" applyFont="1" applyFill="1" applyAlignment="1">
      <alignment horizontal="left"/>
    </xf>
    <xf numFmtId="0" fontId="10" fillId="4" borderId="0" xfId="0" applyFont="1" applyFill="1" applyAlignment="1">
      <alignment horizontal="right"/>
    </xf>
    <xf numFmtId="0" fontId="17" fillId="4" borderId="0" xfId="0" applyFont="1" applyFill="1" applyAlignment="1">
      <alignment horizontal="right"/>
    </xf>
    <xf numFmtId="0" fontId="14" fillId="2" borderId="0" xfId="0" applyFont="1" applyFill="1" applyAlignment="1" applyProtection="1">
      <alignment horizontal="center"/>
      <protection locked="0"/>
    </xf>
    <xf numFmtId="0" fontId="23" fillId="0" borderId="0" xfId="0" applyFont="1"/>
    <xf numFmtId="0" fontId="24" fillId="0" borderId="0" xfId="0" applyFont="1" applyProtection="1">
      <protection hidden="1"/>
    </xf>
    <xf numFmtId="0" fontId="25" fillId="0" borderId="0" xfId="0" applyFont="1" applyAlignment="1" applyProtection="1">
      <alignment horizontal="left"/>
      <protection hidden="1"/>
    </xf>
    <xf numFmtId="0" fontId="23" fillId="0" borderId="0" xfId="0" applyFont="1" applyAlignment="1" applyProtection="1">
      <alignment horizontal="left"/>
      <protection hidden="1"/>
    </xf>
    <xf numFmtId="0" fontId="26" fillId="0" borderId="0" xfId="0" applyFont="1" applyAlignment="1" applyProtection="1">
      <alignment horizontal="left"/>
      <protection hidden="1"/>
    </xf>
    <xf numFmtId="0" fontId="12" fillId="9" borderId="0" xfId="0" applyFont="1" applyFill="1" applyAlignment="1" applyProtection="1">
      <alignment horizontal="centerContinuous"/>
      <protection hidden="1"/>
    </xf>
    <xf numFmtId="0" fontId="23" fillId="10" borderId="2" xfId="0" applyFont="1" applyFill="1" applyBorder="1" applyAlignment="1" applyProtection="1">
      <alignment horizontal="center"/>
      <protection hidden="1"/>
    </xf>
    <xf numFmtId="0" fontId="23" fillId="6" borderId="2" xfId="0" applyFont="1" applyFill="1" applyBorder="1" applyAlignment="1" applyProtection="1">
      <alignment horizontal="left"/>
      <protection hidden="1"/>
    </xf>
    <xf numFmtId="0" fontId="23" fillId="0" borderId="2" xfId="0" applyFont="1" applyBorder="1" applyAlignment="1" applyProtection="1">
      <alignment horizontal="center"/>
      <protection hidden="1"/>
    </xf>
    <xf numFmtId="0" fontId="23" fillId="0" borderId="2" xfId="0" applyFont="1" applyBorder="1" applyAlignment="1" applyProtection="1">
      <alignment horizontal="left"/>
      <protection hidden="1"/>
    </xf>
    <xf numFmtId="0" fontId="23" fillId="0" borderId="1" xfId="0" applyFont="1" applyBorder="1" applyAlignment="1" applyProtection="1">
      <alignment horizontal="center"/>
      <protection hidden="1"/>
    </xf>
    <xf numFmtId="0" fontId="23" fillId="0" borderId="1" xfId="0" applyFont="1" applyBorder="1" applyAlignment="1" applyProtection="1">
      <alignment horizontal="left"/>
      <protection hidden="1"/>
    </xf>
    <xf numFmtId="0" fontId="27" fillId="0" borderId="0" xfId="0" applyFont="1" applyAlignment="1" applyProtection="1">
      <alignment horizontal="center"/>
      <protection hidden="1"/>
    </xf>
    <xf numFmtId="0" fontId="27" fillId="0" borderId="0" xfId="0" applyFont="1" applyAlignment="1" applyProtection="1">
      <alignment horizontal="left"/>
      <protection hidden="1"/>
    </xf>
    <xf numFmtId="0" fontId="23" fillId="0" borderId="0" xfId="0" applyFont="1" applyAlignment="1" applyProtection="1">
      <alignment horizontal="center"/>
      <protection hidden="1"/>
    </xf>
    <xf numFmtId="0" fontId="1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:B30"/>
    </sheetView>
  </sheetViews>
  <sheetFormatPr defaultRowHeight="15.75" x14ac:dyDescent="0.25"/>
  <cols>
    <col min="1" max="1" width="5.7109375" style="1" customWidth="1"/>
    <col min="2" max="2" width="50.7109375" style="1" customWidth="1"/>
    <col min="3" max="3" width="9.140625" style="4"/>
    <col min="4" max="16384" width="9.140625" style="1"/>
  </cols>
  <sheetData>
    <row r="1" spans="1:3" ht="20.25" x14ac:dyDescent="0.3">
      <c r="B1" s="2" t="s">
        <v>0</v>
      </c>
    </row>
    <row r="2" spans="1:3" x14ac:dyDescent="0.25">
      <c r="B2" s="3" t="s">
        <v>1</v>
      </c>
    </row>
    <row r="3" spans="1:3" x14ac:dyDescent="0.25">
      <c r="A3" s="5">
        <v>1</v>
      </c>
      <c r="B3" s="6" t="s">
        <v>113</v>
      </c>
      <c r="C3" s="4">
        <v>0.34540468454360962</v>
      </c>
    </row>
    <row r="4" spans="1:3" x14ac:dyDescent="0.25">
      <c r="A4" s="5">
        <v>2</v>
      </c>
      <c r="B4" s="6" t="s">
        <v>114</v>
      </c>
      <c r="C4" s="4">
        <v>0.19100093841552734</v>
      </c>
    </row>
    <row r="5" spans="1:3" x14ac:dyDescent="0.25">
      <c r="A5" s="5">
        <v>3</v>
      </c>
      <c r="B5" s="6" t="s">
        <v>115</v>
      </c>
      <c r="C5" s="4">
        <v>0.13936537504196167</v>
      </c>
    </row>
    <row r="6" spans="1:3" x14ac:dyDescent="0.25">
      <c r="A6" s="5">
        <v>4</v>
      </c>
      <c r="B6" s="6" t="s">
        <v>116</v>
      </c>
      <c r="C6" s="4">
        <v>0.80911886692047119</v>
      </c>
    </row>
    <row r="7" spans="1:3" x14ac:dyDescent="0.25">
      <c r="A7" s="5">
        <v>5</v>
      </c>
      <c r="B7" s="6" t="s">
        <v>117</v>
      </c>
      <c r="C7" s="4">
        <v>0.17083007097244263</v>
      </c>
    </row>
    <row r="8" spans="1:3" x14ac:dyDescent="0.25">
      <c r="A8" s="5">
        <v>6</v>
      </c>
      <c r="B8" s="6" t="s">
        <v>118</v>
      </c>
      <c r="C8" s="4">
        <v>0.82011723518371582</v>
      </c>
    </row>
    <row r="9" spans="1:3" x14ac:dyDescent="0.25">
      <c r="A9" s="5">
        <v>7</v>
      </c>
      <c r="B9" s="6" t="s">
        <v>119</v>
      </c>
      <c r="C9" s="4">
        <v>0.88856738805770874</v>
      </c>
    </row>
    <row r="10" spans="1:3" x14ac:dyDescent="0.25">
      <c r="A10" s="5">
        <v>8</v>
      </c>
      <c r="B10" s="6" t="s">
        <v>120</v>
      </c>
      <c r="C10" s="4">
        <v>0.87016761302947998</v>
      </c>
    </row>
    <row r="11" spans="1:3" x14ac:dyDescent="0.25">
      <c r="A11" s="5">
        <v>9</v>
      </c>
      <c r="B11" s="6" t="s">
        <v>121</v>
      </c>
      <c r="C11" s="4">
        <v>0.71917492151260376</v>
      </c>
    </row>
    <row r="12" spans="1:3" x14ac:dyDescent="0.25">
      <c r="A12" s="5">
        <v>10</v>
      </c>
      <c r="B12" s="6" t="s">
        <v>122</v>
      </c>
      <c r="C12" s="4">
        <v>0.17215299606323242</v>
      </c>
    </row>
    <row r="13" spans="1:3" x14ac:dyDescent="0.25">
      <c r="A13" s="5">
        <v>11</v>
      </c>
      <c r="B13" s="6" t="s">
        <v>123</v>
      </c>
      <c r="C13" s="4">
        <v>9.5109641551971436E-2</v>
      </c>
    </row>
    <row r="14" spans="1:3" x14ac:dyDescent="0.25">
      <c r="A14" s="5">
        <v>12</v>
      </c>
      <c r="B14" s="6" t="s">
        <v>124</v>
      </c>
      <c r="C14" s="4">
        <v>0.54581367969512939</v>
      </c>
    </row>
    <row r="15" spans="1:3" x14ac:dyDescent="0.25">
      <c r="A15" s="5">
        <v>13</v>
      </c>
      <c r="B15" s="6" t="s">
        <v>125</v>
      </c>
      <c r="C15" s="4">
        <v>0.33591347932815552</v>
      </c>
    </row>
    <row r="16" spans="1:3" x14ac:dyDescent="0.25">
      <c r="A16" s="5">
        <v>14</v>
      </c>
      <c r="B16" s="6" t="s">
        <v>126</v>
      </c>
      <c r="C16" s="4">
        <v>0.32700324058532715</v>
      </c>
    </row>
    <row r="17" spans="1:3" x14ac:dyDescent="0.25">
      <c r="A17" s="5">
        <v>15</v>
      </c>
      <c r="B17" s="6" t="s">
        <v>127</v>
      </c>
      <c r="C17" s="4">
        <v>0.10446637868881226</v>
      </c>
    </row>
    <row r="18" spans="1:3" x14ac:dyDescent="0.25">
      <c r="A18" s="5">
        <v>16</v>
      </c>
      <c r="B18" s="6" t="s">
        <v>128</v>
      </c>
      <c r="C18" s="4">
        <v>0.52280938625335693</v>
      </c>
    </row>
    <row r="19" spans="1:3" x14ac:dyDescent="0.25">
      <c r="A19" s="5">
        <v>17</v>
      </c>
      <c r="B19" s="6" t="s">
        <v>129</v>
      </c>
      <c r="C19" s="4">
        <v>0.3464089035987854</v>
      </c>
    </row>
    <row r="20" spans="1:3" x14ac:dyDescent="0.25">
      <c r="A20" s="5">
        <v>18</v>
      </c>
      <c r="B20" s="6" t="s">
        <v>130</v>
      </c>
      <c r="C20" s="4">
        <v>0.842987060546875</v>
      </c>
    </row>
    <row r="21" spans="1:3" x14ac:dyDescent="0.25">
      <c r="A21" s="5">
        <v>19</v>
      </c>
      <c r="B21" s="6" t="s">
        <v>131</v>
      </c>
      <c r="C21" s="4">
        <v>0.2716943621635437</v>
      </c>
    </row>
    <row r="22" spans="1:3" x14ac:dyDescent="0.25">
      <c r="A22" s="5">
        <v>20</v>
      </c>
      <c r="B22" s="6" t="s">
        <v>132</v>
      </c>
      <c r="C22" s="4">
        <v>0.1265178918838501</v>
      </c>
    </row>
    <row r="23" spans="1:3" x14ac:dyDescent="0.25">
      <c r="A23" s="5">
        <v>21</v>
      </c>
      <c r="B23" s="6" t="s">
        <v>133</v>
      </c>
      <c r="C23" s="4">
        <v>4.7200500965118408E-2</v>
      </c>
    </row>
    <row r="24" spans="1:3" x14ac:dyDescent="0.25">
      <c r="A24" s="5">
        <v>22</v>
      </c>
      <c r="B24" s="6" t="s">
        <v>134</v>
      </c>
      <c r="C24" s="4">
        <v>0.14420723915100098</v>
      </c>
    </row>
    <row r="25" spans="1:3" x14ac:dyDescent="0.25">
      <c r="A25" s="5">
        <v>23</v>
      </c>
      <c r="B25" s="6" t="s">
        <v>135</v>
      </c>
      <c r="C25" s="4">
        <v>0.63068336248397827</v>
      </c>
    </row>
    <row r="26" spans="1:3" x14ac:dyDescent="0.25">
      <c r="A26" s="5">
        <v>24</v>
      </c>
      <c r="B26" s="6" t="s">
        <v>136</v>
      </c>
      <c r="C26" s="4">
        <v>0.39082896709442139</v>
      </c>
    </row>
    <row r="27" spans="1:3" x14ac:dyDescent="0.25">
      <c r="A27" s="5">
        <v>25</v>
      </c>
      <c r="B27" s="6" t="s">
        <v>137</v>
      </c>
      <c r="C27" s="4">
        <v>0.86112457513809204</v>
      </c>
    </row>
    <row r="28" spans="1:3" x14ac:dyDescent="0.25">
      <c r="A28" s="5">
        <v>26</v>
      </c>
      <c r="B28" s="6" t="s">
        <v>138</v>
      </c>
      <c r="C28" s="4">
        <v>0.59118318557739258</v>
      </c>
    </row>
    <row r="29" spans="1:3" x14ac:dyDescent="0.25">
      <c r="A29" s="5">
        <v>27</v>
      </c>
      <c r="B29" s="6" t="s">
        <v>139</v>
      </c>
      <c r="C29" s="4">
        <v>0.89954251050949097</v>
      </c>
    </row>
    <row r="30" spans="1:3" x14ac:dyDescent="0.25">
      <c r="A30" s="5">
        <v>28</v>
      </c>
      <c r="B30" s="6" t="s">
        <v>140</v>
      </c>
      <c r="C30" s="4">
        <v>0.6273270845413208</v>
      </c>
    </row>
  </sheetData>
  <sheetProtection sheet="1" objects="1" scenarios="1" selectLockedCells="1"/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showGridLines="0" workbookViewId="0">
      <pane ySplit="2" topLeftCell="A3" activePane="bottomLeft" state="frozen"/>
      <selection pane="bottomLeft" activeCell="A3" sqref="A3"/>
    </sheetView>
  </sheetViews>
  <sheetFormatPr defaultRowHeight="15.75" x14ac:dyDescent="0.25"/>
  <cols>
    <col min="1" max="1" width="5.7109375" style="1" customWidth="1"/>
    <col min="2" max="2" width="50.7109375" style="1" customWidth="1"/>
    <col min="3" max="4" width="9.140625" style="1"/>
    <col min="5" max="26" width="0" style="1" hidden="1" customWidth="1"/>
    <col min="27" max="16384" width="9.140625" style="1"/>
  </cols>
  <sheetData>
    <row r="1" spans="1:8" ht="20.25" x14ac:dyDescent="0.3">
      <c r="B1" s="2" t="s">
        <v>2</v>
      </c>
    </row>
    <row r="2" spans="1:8" x14ac:dyDescent="0.25">
      <c r="B2" s="3" t="s">
        <v>1</v>
      </c>
    </row>
    <row r="3" spans="1:8" x14ac:dyDescent="0.25">
      <c r="A3" s="7" t="s">
        <v>3</v>
      </c>
      <c r="E3" s="1">
        <v>1</v>
      </c>
      <c r="F3" s="1">
        <v>2</v>
      </c>
      <c r="G3" s="1">
        <v>3</v>
      </c>
      <c r="H3" s="1">
        <v>4</v>
      </c>
    </row>
    <row r="4" spans="1:8" x14ac:dyDescent="0.25">
      <c r="A4" s="1">
        <v>1</v>
      </c>
      <c r="B4" s="1" t="str">
        <f>VLOOKUP($A4, Equipes!$A$2:$B$30, 2, FALSE)</f>
        <v>Willow</v>
      </c>
      <c r="E4" s="1">
        <v>5</v>
      </c>
      <c r="F4" s="1">
        <v>6</v>
      </c>
      <c r="G4" s="1">
        <v>7</v>
      </c>
    </row>
    <row r="5" spans="1:8" x14ac:dyDescent="0.25">
      <c r="A5" s="1">
        <v>2</v>
      </c>
      <c r="B5" s="1" t="str">
        <f>VLOOKUP($A5, Equipes!$A$2:$B$30, 2, FALSE)</f>
        <v>DJ Iury</v>
      </c>
    </row>
    <row r="6" spans="1:8" x14ac:dyDescent="0.25">
      <c r="A6" s="1">
        <v>3</v>
      </c>
      <c r="B6" s="1" t="str">
        <f>VLOOKUP($A6, Equipes!$A$2:$B$30, 2, FALSE)</f>
        <v>Luiz Coelho</v>
      </c>
    </row>
    <row r="7" spans="1:8" x14ac:dyDescent="0.25">
      <c r="A7" s="1">
        <v>4</v>
      </c>
      <c r="B7" s="1" t="str">
        <f>VLOOKUP($A7, Equipes!$A$2:$B$30, 2, FALSE)</f>
        <v>Afonso</v>
      </c>
    </row>
    <row r="8" spans="1:8" x14ac:dyDescent="0.25">
      <c r="A8" s="1">
        <v>5</v>
      </c>
      <c r="B8" s="1" t="str">
        <f>VLOOKUP($A8, Equipes!$A$2:$B$30, 2, FALSE)</f>
        <v>Sergio Barreira</v>
      </c>
    </row>
    <row r="9" spans="1:8" x14ac:dyDescent="0.25">
      <c r="A9" s="1">
        <v>6</v>
      </c>
      <c r="B9" s="1" t="str">
        <f>VLOOKUP($A9, Equipes!$A$2:$B$30, 2, FALSE)</f>
        <v>Pepe</v>
      </c>
    </row>
    <row r="10" spans="1:8" x14ac:dyDescent="0.25">
      <c r="A10" s="1">
        <v>7</v>
      </c>
      <c r="B10" s="1" t="str">
        <f>VLOOKUP($A10, Equipes!$A$2:$B$30, 2, FALSE)</f>
        <v>Cortez</v>
      </c>
    </row>
    <row r="12" spans="1:8" x14ac:dyDescent="0.25">
      <c r="A12" s="7" t="s">
        <v>4</v>
      </c>
      <c r="E12" s="1">
        <v>8</v>
      </c>
      <c r="F12" s="1">
        <v>9</v>
      </c>
      <c r="G12" s="1">
        <v>10</v>
      </c>
      <c r="H12" s="1">
        <v>11</v>
      </c>
    </row>
    <row r="13" spans="1:8" x14ac:dyDescent="0.25">
      <c r="A13" s="1">
        <v>8</v>
      </c>
      <c r="B13" s="1" t="str">
        <f>VLOOKUP($A13, Equipes!$A$2:$B$30, 2, FALSE)</f>
        <v>Teruel</v>
      </c>
      <c r="E13" s="1">
        <v>12</v>
      </c>
      <c r="F13" s="1">
        <v>13</v>
      </c>
      <c r="G13" s="1">
        <v>14</v>
      </c>
    </row>
    <row r="14" spans="1:8" x14ac:dyDescent="0.25">
      <c r="A14" s="1">
        <v>9</v>
      </c>
      <c r="B14" s="1" t="str">
        <f>VLOOKUP($A14, Equipes!$A$2:$B$30, 2, FALSE)</f>
        <v>Tupinamba</v>
      </c>
    </row>
    <row r="15" spans="1:8" x14ac:dyDescent="0.25">
      <c r="A15" s="1">
        <v>10</v>
      </c>
      <c r="B15" s="1" t="str">
        <f>VLOOKUP($A15, Equipes!$A$2:$B$30, 2, FALSE)</f>
        <v>Ruas</v>
      </c>
    </row>
    <row r="16" spans="1:8" x14ac:dyDescent="0.25">
      <c r="A16" s="1">
        <v>11</v>
      </c>
      <c r="B16" s="1" t="str">
        <f>VLOOKUP($A16, Equipes!$A$2:$B$30, 2, FALSE)</f>
        <v>Mario</v>
      </c>
    </row>
    <row r="17" spans="1:8" x14ac:dyDescent="0.25">
      <c r="A17" s="1">
        <v>12</v>
      </c>
      <c r="B17" s="1" t="str">
        <f>VLOOKUP($A17, Equipes!$A$2:$B$30, 2, FALSE)</f>
        <v>Reginaldo</v>
      </c>
    </row>
    <row r="18" spans="1:8" x14ac:dyDescent="0.25">
      <c r="A18" s="1">
        <v>13</v>
      </c>
      <c r="B18" s="1" t="str">
        <f>VLOOKUP($A18, Equipes!$A$2:$B$30, 2, FALSE)</f>
        <v>Léo Carioca</v>
      </c>
    </row>
    <row r="19" spans="1:8" x14ac:dyDescent="0.25">
      <c r="A19" s="1">
        <v>14</v>
      </c>
      <c r="B19" s="1" t="str">
        <f>VLOOKUP($A19, Equipes!$A$2:$B$30, 2, FALSE)</f>
        <v>Elsio</v>
      </c>
    </row>
    <row r="21" spans="1:8" x14ac:dyDescent="0.25">
      <c r="A21" s="7" t="s">
        <v>5</v>
      </c>
      <c r="E21" s="1">
        <v>15</v>
      </c>
      <c r="F21" s="1">
        <v>16</v>
      </c>
      <c r="G21" s="1">
        <v>17</v>
      </c>
      <c r="H21" s="1">
        <v>18</v>
      </c>
    </row>
    <row r="22" spans="1:8" x14ac:dyDescent="0.25">
      <c r="A22" s="1">
        <v>15</v>
      </c>
      <c r="B22" s="1" t="str">
        <f>VLOOKUP($A22, Equipes!$A$2:$B$30, 2, FALSE)</f>
        <v>Vinicius Rolim</v>
      </c>
      <c r="E22" s="1">
        <v>19</v>
      </c>
      <c r="F22" s="1">
        <v>20</v>
      </c>
      <c r="G22" s="1">
        <v>21</v>
      </c>
    </row>
    <row r="23" spans="1:8" x14ac:dyDescent="0.25">
      <c r="A23" s="1">
        <v>16</v>
      </c>
      <c r="B23" s="1" t="str">
        <f>VLOOKUP($A23, Equipes!$A$2:$B$30, 2, FALSE)</f>
        <v>Professor</v>
      </c>
    </row>
    <row r="24" spans="1:8" x14ac:dyDescent="0.25">
      <c r="A24" s="1">
        <v>17</v>
      </c>
      <c r="B24" s="1" t="str">
        <f>VLOOKUP($A24, Equipes!$A$2:$B$30, 2, FALSE)</f>
        <v>Diogo</v>
      </c>
    </row>
    <row r="25" spans="1:8" x14ac:dyDescent="0.25">
      <c r="A25" s="1">
        <v>18</v>
      </c>
      <c r="B25" s="1" t="str">
        <f>VLOOKUP($A25, Equipes!$A$2:$B$30, 2, FALSE)</f>
        <v>Felix</v>
      </c>
    </row>
    <row r="26" spans="1:8" x14ac:dyDescent="0.25">
      <c r="A26" s="1">
        <v>19</v>
      </c>
      <c r="B26" s="1" t="str">
        <f>VLOOKUP($A26, Equipes!$A$2:$B$30, 2, FALSE)</f>
        <v>Rodrigo Moro</v>
      </c>
    </row>
    <row r="27" spans="1:8" x14ac:dyDescent="0.25">
      <c r="A27" s="1">
        <v>20</v>
      </c>
      <c r="B27" s="1" t="str">
        <f>VLOOKUP($A27, Equipes!$A$2:$B$30, 2, FALSE)</f>
        <v>Erismar</v>
      </c>
    </row>
    <row r="28" spans="1:8" x14ac:dyDescent="0.25">
      <c r="A28" s="1">
        <v>21</v>
      </c>
      <c r="B28" s="1" t="str">
        <f>VLOOKUP($A28, Equipes!$A$2:$B$30, 2, FALSE)</f>
        <v xml:space="preserve">Marcão </v>
      </c>
    </row>
    <row r="30" spans="1:8" x14ac:dyDescent="0.25">
      <c r="A30" s="7" t="s">
        <v>6</v>
      </c>
      <c r="E30" s="1">
        <v>22</v>
      </c>
      <c r="F30" s="1">
        <v>23</v>
      </c>
      <c r="G30" s="1">
        <v>24</v>
      </c>
      <c r="H30" s="1">
        <v>25</v>
      </c>
    </row>
    <row r="31" spans="1:8" x14ac:dyDescent="0.25">
      <c r="A31" s="1">
        <v>22</v>
      </c>
      <c r="B31" s="1" t="str">
        <f>VLOOKUP($A31, Equipes!$A$2:$B$30, 2, FALSE)</f>
        <v>Galdeano</v>
      </c>
      <c r="E31" s="1">
        <v>26</v>
      </c>
      <c r="F31" s="1">
        <v>27</v>
      </c>
      <c r="G31" s="1">
        <v>28</v>
      </c>
    </row>
    <row r="32" spans="1:8" x14ac:dyDescent="0.25">
      <c r="A32" s="1">
        <v>23</v>
      </c>
      <c r="B32" s="1" t="str">
        <f>VLOOKUP($A32, Equipes!$A$2:$B$30, 2, FALSE)</f>
        <v>Luiz Moreira</v>
      </c>
    </row>
    <row r="33" spans="1:2" x14ac:dyDescent="0.25">
      <c r="A33" s="1">
        <v>24</v>
      </c>
      <c r="B33" s="1" t="str">
        <f>VLOOKUP($A33, Equipes!$A$2:$B$30, 2, FALSE)</f>
        <v>Tabajara</v>
      </c>
    </row>
    <row r="34" spans="1:2" x14ac:dyDescent="0.25">
      <c r="A34" s="1">
        <v>25</v>
      </c>
      <c r="B34" s="1" t="str">
        <f>VLOOKUP($A34, Equipes!$A$2:$B$30, 2, FALSE)</f>
        <v>Rafael Balieiro</v>
      </c>
    </row>
    <row r="35" spans="1:2" x14ac:dyDescent="0.25">
      <c r="A35" s="1">
        <v>26</v>
      </c>
      <c r="B35" s="1" t="str">
        <f>VLOOKUP($A35, Equipes!$A$2:$B$30, 2, FALSE)</f>
        <v>Coelho</v>
      </c>
    </row>
    <row r="36" spans="1:2" x14ac:dyDescent="0.25">
      <c r="A36" s="1">
        <v>27</v>
      </c>
      <c r="B36" s="1" t="str">
        <f>VLOOKUP($A36, Equipes!$A$2:$B$30, 2, FALSE)</f>
        <v>Mario Mili</v>
      </c>
    </row>
    <row r="37" spans="1:2" x14ac:dyDescent="0.25">
      <c r="A37" s="1">
        <v>28</v>
      </c>
      <c r="B37" s="1" t="str">
        <f>VLOOKUP($A37, Equipes!$A$2:$B$30, 2, FALSE)</f>
        <v>Zé Luiz</v>
      </c>
    </row>
  </sheetData>
  <sheetProtection sheet="1" objects="1" scenarios="1" selectLockedCells="1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3"/>
  <sheetViews>
    <sheetView showGridLines="0" topLeftCell="B1" workbookViewId="0">
      <pane ySplit="2" topLeftCell="A73" activePane="bottomLeft" state="frozen"/>
      <selection activeCell="B1" sqref="B1"/>
      <selection pane="bottomLeft" activeCell="E91" sqref="E91"/>
    </sheetView>
  </sheetViews>
  <sheetFormatPr defaultRowHeight="15.75" x14ac:dyDescent="0.25"/>
  <cols>
    <col min="1" max="1" width="2.7109375" style="8" hidden="1" customWidth="1"/>
    <col min="2" max="2" width="40.7109375" style="9" customWidth="1"/>
    <col min="3" max="5" width="4.7109375" style="10" customWidth="1"/>
    <col min="6" max="6" width="40.7109375" style="11" customWidth="1"/>
    <col min="7" max="7" width="2.7109375" style="8" hidden="1" customWidth="1"/>
    <col min="8" max="10" width="8.7109375" style="9" customWidth="1"/>
    <col min="11" max="11" width="10.7109375" style="9" customWidth="1"/>
    <col min="12" max="12" width="9.140625" style="1"/>
    <col min="13" max="23" width="5.7109375" style="9" hidden="1" customWidth="1"/>
    <col min="24" max="16384" width="9.140625" style="1"/>
  </cols>
  <sheetData>
    <row r="1" spans="1:23" ht="20.25" x14ac:dyDescent="0.3">
      <c r="B1" s="2" t="s">
        <v>7</v>
      </c>
      <c r="M1" s="9" t="s">
        <v>8</v>
      </c>
    </row>
    <row r="2" spans="1:23" x14ac:dyDescent="0.25">
      <c r="B2" s="3" t="s">
        <v>1</v>
      </c>
      <c r="M2" s="9">
        <v>84</v>
      </c>
    </row>
    <row r="3" spans="1:23" x14ac:dyDescent="0.25">
      <c r="B3" s="13" t="s">
        <v>9</v>
      </c>
      <c r="C3" s="14"/>
      <c r="D3" s="14"/>
      <c r="E3" s="14"/>
      <c r="F3" s="15"/>
      <c r="G3" s="16"/>
      <c r="H3" s="13" t="s">
        <v>10</v>
      </c>
      <c r="I3" s="13" t="s">
        <v>11</v>
      </c>
      <c r="J3" s="13" t="s">
        <v>12</v>
      </c>
      <c r="K3" s="17">
        <v>45018.583333333336</v>
      </c>
      <c r="M3" s="12" t="s">
        <v>13</v>
      </c>
      <c r="N3" s="12" t="s">
        <v>13</v>
      </c>
      <c r="O3" s="12" t="s">
        <v>14</v>
      </c>
      <c r="P3" s="12" t="s">
        <v>15</v>
      </c>
      <c r="Q3" s="12" t="s">
        <v>15</v>
      </c>
      <c r="R3" s="12" t="s">
        <v>16</v>
      </c>
      <c r="S3" s="12" t="s">
        <v>17</v>
      </c>
      <c r="T3" s="12" t="s">
        <v>18</v>
      </c>
      <c r="U3" s="12" t="s">
        <v>14</v>
      </c>
      <c r="V3" s="12" t="s">
        <v>19</v>
      </c>
      <c r="W3" s="12" t="s">
        <v>20</v>
      </c>
    </row>
    <row r="4" spans="1:23" x14ac:dyDescent="0.25">
      <c r="A4" s="8">
        <v>1</v>
      </c>
      <c r="B4" s="9" t="str">
        <f>VLOOKUP($A4, Equipes!$A$3:$B$30, 2, FALSE)</f>
        <v>Willow</v>
      </c>
      <c r="C4" s="18">
        <v>1</v>
      </c>
      <c r="D4" s="10" t="s">
        <v>21</v>
      </c>
      <c r="E4" s="18">
        <v>1</v>
      </c>
      <c r="F4" s="11" t="str">
        <f>VLOOKUP($G4, Equipes!$A$3:$B$30, 2, FALSE)</f>
        <v>Sergio Barreira</v>
      </c>
      <c r="G4" s="8">
        <v>5</v>
      </c>
      <c r="H4" s="9">
        <v>8</v>
      </c>
      <c r="I4" s="9" t="s">
        <v>22</v>
      </c>
      <c r="J4" s="9">
        <v>1</v>
      </c>
      <c r="M4" s="9" t="str">
        <f t="shared" ref="M4:M15" si="0">IF(OR(C4 = "",E4 = ""), "", B4)</f>
        <v>Willow</v>
      </c>
      <c r="N4" s="9" t="str">
        <f t="shared" ref="N4:N15" si="1">IF(OR(C4 = "",E4 = ""), "", F4)</f>
        <v>Sergio Barreira</v>
      </c>
      <c r="O4" s="9" t="str">
        <f t="shared" ref="O4:O15" si="2">IF(C4&gt;E4,B4, IF(E4&gt;C4,F4, ""))</f>
        <v/>
      </c>
      <c r="P4" s="9" t="str">
        <f t="shared" ref="P4:P15" si="3">IF(OR(C4 = "",E4 = ""), "", IF(C4=E4,B4, ""))</f>
        <v>Willow</v>
      </c>
      <c r="Q4" s="9" t="str">
        <f t="shared" ref="Q4:Q15" si="4">IF(OR(C4 = "",E4 = ""), "", IF(C4=E4,F4, ""))</f>
        <v>Sergio Barreira</v>
      </c>
      <c r="R4" s="9" t="str">
        <f t="shared" ref="R4:R15" si="5">IF(C4&gt;E4,F4, IF(E4&gt;C4,B4, ""))</f>
        <v/>
      </c>
      <c r="S4" s="9" t="str">
        <f t="shared" ref="S4:S15" si="6">IF(OR(C4 = "",E4 = ""), "", B4)</f>
        <v>Willow</v>
      </c>
      <c r="T4" s="9">
        <f t="shared" ref="T4:T15" si="7">IF(C4 = "", "", C4)</f>
        <v>1</v>
      </c>
      <c r="U4" s="9" t="str">
        <f t="shared" ref="U4:U15" si="8">IF(OR(C4 = "",E4 = ""), "", F4)</f>
        <v>Sergio Barreira</v>
      </c>
      <c r="V4" s="9">
        <f t="shared" ref="V4:V15" si="9">IF(E4 = "", "", E4)</f>
        <v>1</v>
      </c>
      <c r="W4" s="9">
        <f t="shared" ref="W4:W15" si="10">IF(C4 = "", "", C4)</f>
        <v>1</v>
      </c>
    </row>
    <row r="5" spans="1:23" x14ac:dyDescent="0.25">
      <c r="A5" s="8">
        <v>2</v>
      </c>
      <c r="B5" s="19" t="str">
        <f>VLOOKUP($A5, Equipes!$A$3:$B$30, 2, FALSE)</f>
        <v>DJ Iury</v>
      </c>
      <c r="C5" s="18">
        <v>3</v>
      </c>
      <c r="D5" s="20" t="s">
        <v>21</v>
      </c>
      <c r="E5" s="18">
        <v>1</v>
      </c>
      <c r="F5" s="21" t="str">
        <f>VLOOKUP($G5, Equipes!$A$3:$B$30, 2, FALSE)</f>
        <v>Pepe</v>
      </c>
      <c r="G5" s="22">
        <v>6</v>
      </c>
      <c r="H5" s="19">
        <v>4</v>
      </c>
      <c r="I5" s="19" t="s">
        <v>22</v>
      </c>
      <c r="J5" s="19">
        <v>1</v>
      </c>
      <c r="K5" s="19"/>
      <c r="M5" s="9" t="str">
        <f t="shared" si="0"/>
        <v>DJ Iury</v>
      </c>
      <c r="N5" s="9" t="str">
        <f t="shared" si="1"/>
        <v>Pepe</v>
      </c>
      <c r="O5" s="9" t="str">
        <f t="shared" si="2"/>
        <v>DJ Iury</v>
      </c>
      <c r="P5" s="9" t="str">
        <f t="shared" si="3"/>
        <v/>
      </c>
      <c r="Q5" s="9" t="str">
        <f t="shared" si="4"/>
        <v/>
      </c>
      <c r="R5" s="9" t="str">
        <f t="shared" si="5"/>
        <v>Pepe</v>
      </c>
      <c r="S5" s="9" t="str">
        <f t="shared" si="6"/>
        <v>DJ Iury</v>
      </c>
      <c r="T5" s="9">
        <f t="shared" si="7"/>
        <v>3</v>
      </c>
      <c r="U5" s="9" t="str">
        <f t="shared" si="8"/>
        <v>Pepe</v>
      </c>
      <c r="V5" s="9">
        <f t="shared" si="9"/>
        <v>1</v>
      </c>
      <c r="W5" s="9">
        <f t="shared" si="10"/>
        <v>3</v>
      </c>
    </row>
    <row r="6" spans="1:23" x14ac:dyDescent="0.25">
      <c r="A6" s="8">
        <v>3</v>
      </c>
      <c r="B6" s="9" t="str">
        <f>VLOOKUP($A6, Equipes!$A$3:$B$30, 2, FALSE)</f>
        <v>Luiz Coelho</v>
      </c>
      <c r="C6" s="18">
        <v>1</v>
      </c>
      <c r="D6" s="10" t="s">
        <v>21</v>
      </c>
      <c r="E6" s="18">
        <v>1</v>
      </c>
      <c r="F6" s="11" t="str">
        <f>VLOOKUP($G6, Equipes!$A$3:$B$30, 2, FALSE)</f>
        <v>Cortez</v>
      </c>
      <c r="G6" s="8">
        <v>7</v>
      </c>
      <c r="H6" s="9">
        <v>10</v>
      </c>
      <c r="I6" s="9" t="s">
        <v>22</v>
      </c>
      <c r="J6" s="9">
        <v>1</v>
      </c>
      <c r="M6" s="9" t="str">
        <f t="shared" si="0"/>
        <v>Luiz Coelho</v>
      </c>
      <c r="N6" s="9" t="str">
        <f t="shared" si="1"/>
        <v>Cortez</v>
      </c>
      <c r="O6" s="9" t="str">
        <f t="shared" si="2"/>
        <v/>
      </c>
      <c r="P6" s="9" t="str">
        <f t="shared" si="3"/>
        <v>Luiz Coelho</v>
      </c>
      <c r="Q6" s="9" t="str">
        <f t="shared" si="4"/>
        <v>Cortez</v>
      </c>
      <c r="R6" s="9" t="str">
        <f t="shared" si="5"/>
        <v/>
      </c>
      <c r="S6" s="9" t="str">
        <f t="shared" si="6"/>
        <v>Luiz Coelho</v>
      </c>
      <c r="T6" s="9">
        <f t="shared" si="7"/>
        <v>1</v>
      </c>
      <c r="U6" s="9" t="str">
        <f t="shared" si="8"/>
        <v>Cortez</v>
      </c>
      <c r="V6" s="9">
        <f t="shared" si="9"/>
        <v>1</v>
      </c>
      <c r="W6" s="9">
        <f t="shared" si="10"/>
        <v>1</v>
      </c>
    </row>
    <row r="7" spans="1:23" x14ac:dyDescent="0.25">
      <c r="A7" s="8">
        <v>8</v>
      </c>
      <c r="B7" s="19" t="str">
        <f>VLOOKUP($A7, Equipes!$A$3:$B$30, 2, FALSE)</f>
        <v>Teruel</v>
      </c>
      <c r="C7" s="18">
        <v>2</v>
      </c>
      <c r="D7" s="20" t="s">
        <v>21</v>
      </c>
      <c r="E7" s="18">
        <v>1</v>
      </c>
      <c r="F7" s="21" t="str">
        <f>VLOOKUP($G7, Equipes!$A$3:$B$30, 2, FALSE)</f>
        <v>Reginaldo</v>
      </c>
      <c r="G7" s="22">
        <v>12</v>
      </c>
      <c r="H7" s="19">
        <v>3</v>
      </c>
      <c r="I7" s="19" t="s">
        <v>23</v>
      </c>
      <c r="J7" s="19">
        <v>1</v>
      </c>
      <c r="K7" s="19"/>
      <c r="M7" s="9" t="str">
        <f t="shared" si="0"/>
        <v>Teruel</v>
      </c>
      <c r="N7" s="9" t="str">
        <f t="shared" si="1"/>
        <v>Reginaldo</v>
      </c>
      <c r="O7" s="9" t="str">
        <f t="shared" si="2"/>
        <v>Teruel</v>
      </c>
      <c r="P7" s="9" t="str">
        <f t="shared" si="3"/>
        <v/>
      </c>
      <c r="Q7" s="9" t="str">
        <f t="shared" si="4"/>
        <v/>
      </c>
      <c r="R7" s="9" t="str">
        <f t="shared" si="5"/>
        <v>Reginaldo</v>
      </c>
      <c r="S7" s="9" t="str">
        <f t="shared" si="6"/>
        <v>Teruel</v>
      </c>
      <c r="T7" s="9">
        <f t="shared" si="7"/>
        <v>2</v>
      </c>
      <c r="U7" s="9" t="str">
        <f t="shared" si="8"/>
        <v>Reginaldo</v>
      </c>
      <c r="V7" s="9">
        <f t="shared" si="9"/>
        <v>1</v>
      </c>
      <c r="W7" s="9">
        <f t="shared" si="10"/>
        <v>2</v>
      </c>
    </row>
    <row r="8" spans="1:23" x14ac:dyDescent="0.25">
      <c r="A8" s="8">
        <v>9</v>
      </c>
      <c r="B8" s="9" t="str">
        <f>VLOOKUP($A8, Equipes!$A$3:$B$30, 2, FALSE)</f>
        <v>Tupinamba</v>
      </c>
      <c r="C8" s="18">
        <v>0</v>
      </c>
      <c r="D8" s="10" t="s">
        <v>21</v>
      </c>
      <c r="E8" s="18">
        <v>1</v>
      </c>
      <c r="F8" s="11" t="str">
        <f>VLOOKUP($G8, Equipes!$A$3:$B$30, 2, FALSE)</f>
        <v>Léo Carioca</v>
      </c>
      <c r="G8" s="8">
        <v>13</v>
      </c>
      <c r="H8" s="9">
        <v>5</v>
      </c>
      <c r="I8" s="9" t="s">
        <v>23</v>
      </c>
      <c r="J8" s="9">
        <v>1</v>
      </c>
      <c r="M8" s="9" t="str">
        <f t="shared" si="0"/>
        <v>Tupinamba</v>
      </c>
      <c r="N8" s="9" t="str">
        <f t="shared" si="1"/>
        <v>Léo Carioca</v>
      </c>
      <c r="O8" s="9" t="str">
        <f t="shared" si="2"/>
        <v>Léo Carioca</v>
      </c>
      <c r="P8" s="9" t="str">
        <f t="shared" si="3"/>
        <v/>
      </c>
      <c r="Q8" s="9" t="str">
        <f t="shared" si="4"/>
        <v/>
      </c>
      <c r="R8" s="9" t="str">
        <f t="shared" si="5"/>
        <v>Tupinamba</v>
      </c>
      <c r="S8" s="9" t="str">
        <f t="shared" si="6"/>
        <v>Tupinamba</v>
      </c>
      <c r="T8" s="9">
        <f t="shared" si="7"/>
        <v>0</v>
      </c>
      <c r="U8" s="9" t="str">
        <f t="shared" si="8"/>
        <v>Léo Carioca</v>
      </c>
      <c r="V8" s="9">
        <f t="shared" si="9"/>
        <v>1</v>
      </c>
      <c r="W8" s="9">
        <f t="shared" si="10"/>
        <v>0</v>
      </c>
    </row>
    <row r="9" spans="1:23" x14ac:dyDescent="0.25">
      <c r="A9" s="8">
        <v>10</v>
      </c>
      <c r="B9" s="19" t="str">
        <f>VLOOKUP($A9, Equipes!$A$3:$B$30, 2, FALSE)</f>
        <v>Ruas</v>
      </c>
      <c r="C9" s="18">
        <v>3</v>
      </c>
      <c r="D9" s="20" t="s">
        <v>21</v>
      </c>
      <c r="E9" s="18">
        <v>1</v>
      </c>
      <c r="F9" s="21" t="str">
        <f>VLOOKUP($G9, Equipes!$A$3:$B$30, 2, FALSE)</f>
        <v>Elsio</v>
      </c>
      <c r="G9" s="22">
        <v>14</v>
      </c>
      <c r="H9" s="19">
        <v>7</v>
      </c>
      <c r="I9" s="19" t="s">
        <v>23</v>
      </c>
      <c r="J9" s="19">
        <v>1</v>
      </c>
      <c r="K9" s="19"/>
      <c r="M9" s="9" t="str">
        <f t="shared" si="0"/>
        <v>Ruas</v>
      </c>
      <c r="N9" s="9" t="str">
        <f t="shared" si="1"/>
        <v>Elsio</v>
      </c>
      <c r="O9" s="9" t="str">
        <f t="shared" si="2"/>
        <v>Ruas</v>
      </c>
      <c r="P9" s="9" t="str">
        <f t="shared" si="3"/>
        <v/>
      </c>
      <c r="Q9" s="9" t="str">
        <f t="shared" si="4"/>
        <v/>
      </c>
      <c r="R9" s="9" t="str">
        <f t="shared" si="5"/>
        <v>Elsio</v>
      </c>
      <c r="S9" s="9" t="str">
        <f t="shared" si="6"/>
        <v>Ruas</v>
      </c>
      <c r="T9" s="9">
        <f t="shared" si="7"/>
        <v>3</v>
      </c>
      <c r="U9" s="9" t="str">
        <f t="shared" si="8"/>
        <v>Elsio</v>
      </c>
      <c r="V9" s="9">
        <f t="shared" si="9"/>
        <v>1</v>
      </c>
      <c r="W9" s="9">
        <f t="shared" si="10"/>
        <v>3</v>
      </c>
    </row>
    <row r="10" spans="1:23" x14ac:dyDescent="0.25">
      <c r="A10" s="8">
        <v>15</v>
      </c>
      <c r="B10" s="9" t="str">
        <f>VLOOKUP($A10, Equipes!$A$3:$B$30, 2, FALSE)</f>
        <v>Vinicius Rolim</v>
      </c>
      <c r="C10" s="18">
        <v>2</v>
      </c>
      <c r="D10" s="10" t="s">
        <v>21</v>
      </c>
      <c r="E10" s="18">
        <v>2</v>
      </c>
      <c r="F10" s="11" t="str">
        <f>VLOOKUP($G10, Equipes!$A$3:$B$30, 2, FALSE)</f>
        <v>Rodrigo Moro</v>
      </c>
      <c r="G10" s="8">
        <v>19</v>
      </c>
      <c r="H10" s="9">
        <v>11</v>
      </c>
      <c r="I10" s="9" t="s">
        <v>24</v>
      </c>
      <c r="J10" s="9">
        <v>1</v>
      </c>
      <c r="M10" s="9" t="str">
        <f t="shared" si="0"/>
        <v>Vinicius Rolim</v>
      </c>
      <c r="N10" s="9" t="str">
        <f t="shared" si="1"/>
        <v>Rodrigo Moro</v>
      </c>
      <c r="O10" s="9" t="str">
        <f t="shared" si="2"/>
        <v/>
      </c>
      <c r="P10" s="9" t="str">
        <f t="shared" si="3"/>
        <v>Vinicius Rolim</v>
      </c>
      <c r="Q10" s="9" t="str">
        <f t="shared" si="4"/>
        <v>Rodrigo Moro</v>
      </c>
      <c r="R10" s="9" t="str">
        <f t="shared" si="5"/>
        <v/>
      </c>
      <c r="S10" s="9" t="str">
        <f t="shared" si="6"/>
        <v>Vinicius Rolim</v>
      </c>
      <c r="T10" s="9">
        <f t="shared" si="7"/>
        <v>2</v>
      </c>
      <c r="U10" s="9" t="str">
        <f t="shared" si="8"/>
        <v>Rodrigo Moro</v>
      </c>
      <c r="V10" s="9">
        <f t="shared" si="9"/>
        <v>2</v>
      </c>
      <c r="W10" s="9">
        <f t="shared" si="10"/>
        <v>2</v>
      </c>
    </row>
    <row r="11" spans="1:23" x14ac:dyDescent="0.25">
      <c r="A11" s="8">
        <v>16</v>
      </c>
      <c r="B11" s="19" t="str">
        <f>VLOOKUP($A11, Equipes!$A$3:$B$30, 2, FALSE)</f>
        <v>Professor</v>
      </c>
      <c r="C11" s="18">
        <v>1</v>
      </c>
      <c r="D11" s="20" t="s">
        <v>21</v>
      </c>
      <c r="E11" s="18">
        <v>0</v>
      </c>
      <c r="F11" s="21" t="str">
        <f>VLOOKUP($G11, Equipes!$A$3:$B$30, 2, FALSE)</f>
        <v>Erismar</v>
      </c>
      <c r="G11" s="22">
        <v>20</v>
      </c>
      <c r="H11" s="19">
        <v>12</v>
      </c>
      <c r="I11" s="19" t="s">
        <v>24</v>
      </c>
      <c r="J11" s="19">
        <v>1</v>
      </c>
      <c r="K11" s="19"/>
      <c r="M11" s="9" t="str">
        <f t="shared" si="0"/>
        <v>Professor</v>
      </c>
      <c r="N11" s="9" t="str">
        <f t="shared" si="1"/>
        <v>Erismar</v>
      </c>
      <c r="O11" s="9" t="str">
        <f t="shared" si="2"/>
        <v>Professor</v>
      </c>
      <c r="P11" s="9" t="str">
        <f t="shared" si="3"/>
        <v/>
      </c>
      <c r="Q11" s="9" t="str">
        <f t="shared" si="4"/>
        <v/>
      </c>
      <c r="R11" s="9" t="str">
        <f t="shared" si="5"/>
        <v>Erismar</v>
      </c>
      <c r="S11" s="9" t="str">
        <f t="shared" si="6"/>
        <v>Professor</v>
      </c>
      <c r="T11" s="9">
        <f t="shared" si="7"/>
        <v>1</v>
      </c>
      <c r="U11" s="9" t="str">
        <f t="shared" si="8"/>
        <v>Erismar</v>
      </c>
      <c r="V11" s="9">
        <f t="shared" si="9"/>
        <v>0</v>
      </c>
      <c r="W11" s="9">
        <f t="shared" si="10"/>
        <v>1</v>
      </c>
    </row>
    <row r="12" spans="1:23" x14ac:dyDescent="0.25">
      <c r="A12" s="8">
        <v>17</v>
      </c>
      <c r="B12" s="9" t="str">
        <f>VLOOKUP($A12, Equipes!$A$3:$B$30, 2, FALSE)</f>
        <v>Diogo</v>
      </c>
      <c r="C12" s="18">
        <v>3</v>
      </c>
      <c r="D12" s="10" t="s">
        <v>21</v>
      </c>
      <c r="E12" s="18">
        <v>3</v>
      </c>
      <c r="F12" s="11" t="str">
        <f>VLOOKUP($G12, Equipes!$A$3:$B$30, 2, FALSE)</f>
        <v xml:space="preserve">Marcão </v>
      </c>
      <c r="G12" s="8">
        <v>21</v>
      </c>
      <c r="H12" s="9">
        <v>14</v>
      </c>
      <c r="I12" s="9" t="s">
        <v>24</v>
      </c>
      <c r="J12" s="9">
        <v>1</v>
      </c>
      <c r="M12" s="9" t="str">
        <f t="shared" si="0"/>
        <v>Diogo</v>
      </c>
      <c r="N12" s="9" t="str">
        <f t="shared" si="1"/>
        <v xml:space="preserve">Marcão </v>
      </c>
      <c r="O12" s="9" t="str">
        <f t="shared" si="2"/>
        <v/>
      </c>
      <c r="P12" s="9" t="str">
        <f t="shared" si="3"/>
        <v>Diogo</v>
      </c>
      <c r="Q12" s="9" t="str">
        <f t="shared" si="4"/>
        <v xml:space="preserve">Marcão </v>
      </c>
      <c r="R12" s="9" t="str">
        <f t="shared" si="5"/>
        <v/>
      </c>
      <c r="S12" s="9" t="str">
        <f t="shared" si="6"/>
        <v>Diogo</v>
      </c>
      <c r="T12" s="9">
        <f t="shared" si="7"/>
        <v>3</v>
      </c>
      <c r="U12" s="9" t="str">
        <f t="shared" si="8"/>
        <v xml:space="preserve">Marcão </v>
      </c>
      <c r="V12" s="9">
        <f t="shared" si="9"/>
        <v>3</v>
      </c>
      <c r="W12" s="9">
        <f t="shared" si="10"/>
        <v>3</v>
      </c>
    </row>
    <row r="13" spans="1:23" x14ac:dyDescent="0.25">
      <c r="A13" s="8">
        <v>22</v>
      </c>
      <c r="B13" s="19" t="str">
        <f>VLOOKUP($A13, Equipes!$A$3:$B$30, 2, FALSE)</f>
        <v>Galdeano</v>
      </c>
      <c r="C13" s="18">
        <v>4</v>
      </c>
      <c r="D13" s="20" t="s">
        <v>21</v>
      </c>
      <c r="E13" s="18">
        <v>2</v>
      </c>
      <c r="F13" s="21" t="str">
        <f>VLOOKUP($G13, Equipes!$A$3:$B$30, 2, FALSE)</f>
        <v>Coelho</v>
      </c>
      <c r="G13" s="22">
        <v>26</v>
      </c>
      <c r="H13" s="19">
        <v>6</v>
      </c>
      <c r="I13" s="19" t="s">
        <v>16</v>
      </c>
      <c r="J13" s="19">
        <v>1</v>
      </c>
      <c r="K13" s="19"/>
      <c r="M13" s="9" t="str">
        <f t="shared" si="0"/>
        <v>Galdeano</v>
      </c>
      <c r="N13" s="9" t="str">
        <f t="shared" si="1"/>
        <v>Coelho</v>
      </c>
      <c r="O13" s="9" t="str">
        <f t="shared" si="2"/>
        <v>Galdeano</v>
      </c>
      <c r="P13" s="9" t="str">
        <f t="shared" si="3"/>
        <v/>
      </c>
      <c r="Q13" s="9" t="str">
        <f t="shared" si="4"/>
        <v/>
      </c>
      <c r="R13" s="9" t="str">
        <f t="shared" si="5"/>
        <v>Coelho</v>
      </c>
      <c r="S13" s="9" t="str">
        <f t="shared" si="6"/>
        <v>Galdeano</v>
      </c>
      <c r="T13" s="9">
        <f t="shared" si="7"/>
        <v>4</v>
      </c>
      <c r="U13" s="9" t="str">
        <f t="shared" si="8"/>
        <v>Coelho</v>
      </c>
      <c r="V13" s="9">
        <f t="shared" si="9"/>
        <v>2</v>
      </c>
      <c r="W13" s="9">
        <f t="shared" si="10"/>
        <v>4</v>
      </c>
    </row>
    <row r="14" spans="1:23" x14ac:dyDescent="0.25">
      <c r="A14" s="8">
        <v>23</v>
      </c>
      <c r="B14" s="9" t="str">
        <f>VLOOKUP($A14, Equipes!$A$3:$B$30, 2, FALSE)</f>
        <v>Luiz Moreira</v>
      </c>
      <c r="C14" s="18">
        <v>0</v>
      </c>
      <c r="D14" s="10" t="s">
        <v>21</v>
      </c>
      <c r="E14" s="18">
        <v>0</v>
      </c>
      <c r="F14" s="11" t="str">
        <f>VLOOKUP($G14, Equipes!$A$3:$B$30, 2, FALSE)</f>
        <v>Mario Mili</v>
      </c>
      <c r="G14" s="8">
        <v>27</v>
      </c>
      <c r="H14" s="9">
        <v>1</v>
      </c>
      <c r="I14" s="9" t="s">
        <v>16</v>
      </c>
      <c r="J14" s="9">
        <v>1</v>
      </c>
      <c r="M14" s="9" t="str">
        <f t="shared" si="0"/>
        <v>Luiz Moreira</v>
      </c>
      <c r="N14" s="9" t="str">
        <f t="shared" si="1"/>
        <v>Mario Mili</v>
      </c>
      <c r="O14" s="9" t="str">
        <f t="shared" si="2"/>
        <v/>
      </c>
      <c r="P14" s="9" t="str">
        <f t="shared" si="3"/>
        <v>Luiz Moreira</v>
      </c>
      <c r="Q14" s="9" t="str">
        <f t="shared" si="4"/>
        <v>Mario Mili</v>
      </c>
      <c r="R14" s="9" t="str">
        <f t="shared" si="5"/>
        <v/>
      </c>
      <c r="S14" s="9" t="str">
        <f t="shared" si="6"/>
        <v>Luiz Moreira</v>
      </c>
      <c r="T14" s="9">
        <f t="shared" si="7"/>
        <v>0</v>
      </c>
      <c r="U14" s="9" t="str">
        <f t="shared" si="8"/>
        <v>Mario Mili</v>
      </c>
      <c r="V14" s="9">
        <f t="shared" si="9"/>
        <v>0</v>
      </c>
      <c r="W14" s="9">
        <f t="shared" si="10"/>
        <v>0</v>
      </c>
    </row>
    <row r="15" spans="1:23" x14ac:dyDescent="0.25">
      <c r="A15" s="8">
        <v>24</v>
      </c>
      <c r="B15" s="19" t="str">
        <f>VLOOKUP($A15, Equipes!$A$3:$B$30, 2, FALSE)</f>
        <v>Tabajara</v>
      </c>
      <c r="C15" s="18">
        <v>1</v>
      </c>
      <c r="D15" s="20" t="s">
        <v>21</v>
      </c>
      <c r="E15" s="18">
        <v>1</v>
      </c>
      <c r="F15" s="21" t="str">
        <f>VLOOKUP($G15, Equipes!$A$3:$B$30, 2, FALSE)</f>
        <v>Zé Luiz</v>
      </c>
      <c r="G15" s="22">
        <v>28</v>
      </c>
      <c r="H15" s="19">
        <v>9</v>
      </c>
      <c r="I15" s="19" t="s">
        <v>16</v>
      </c>
      <c r="J15" s="19">
        <v>1</v>
      </c>
      <c r="K15" s="19"/>
      <c r="M15" s="9" t="str">
        <f t="shared" si="0"/>
        <v>Tabajara</v>
      </c>
      <c r="N15" s="9" t="str">
        <f t="shared" si="1"/>
        <v>Zé Luiz</v>
      </c>
      <c r="O15" s="9" t="str">
        <f t="shared" si="2"/>
        <v/>
      </c>
      <c r="P15" s="9" t="str">
        <f t="shared" si="3"/>
        <v>Tabajara</v>
      </c>
      <c r="Q15" s="9" t="str">
        <f t="shared" si="4"/>
        <v>Zé Luiz</v>
      </c>
      <c r="R15" s="9" t="str">
        <f t="shared" si="5"/>
        <v/>
      </c>
      <c r="S15" s="9" t="str">
        <f t="shared" si="6"/>
        <v>Tabajara</v>
      </c>
      <c r="T15" s="9">
        <f t="shared" si="7"/>
        <v>1</v>
      </c>
      <c r="U15" s="9" t="str">
        <f t="shared" si="8"/>
        <v>Zé Luiz</v>
      </c>
      <c r="V15" s="9">
        <f t="shared" si="9"/>
        <v>1</v>
      </c>
      <c r="W15" s="9">
        <f t="shared" si="10"/>
        <v>1</v>
      </c>
    </row>
    <row r="16" spans="1:23" x14ac:dyDescent="0.25">
      <c r="B16" s="13" t="s">
        <v>25</v>
      </c>
      <c r="C16" s="14"/>
      <c r="D16" s="14"/>
      <c r="E16" s="14"/>
      <c r="F16" s="15"/>
      <c r="G16" s="16"/>
      <c r="H16" s="13" t="s">
        <v>10</v>
      </c>
      <c r="I16" s="13" t="s">
        <v>11</v>
      </c>
      <c r="J16" s="13" t="s">
        <v>12</v>
      </c>
      <c r="K16" s="17">
        <f>K3 + TIME(0,20,0)</f>
        <v>45018.597222222226</v>
      </c>
      <c r="M16" s="12" t="s">
        <v>13</v>
      </c>
      <c r="N16" s="12" t="s">
        <v>13</v>
      </c>
      <c r="O16" s="12" t="s">
        <v>14</v>
      </c>
      <c r="P16" s="12" t="s">
        <v>15</v>
      </c>
      <c r="Q16" s="12" t="s">
        <v>15</v>
      </c>
      <c r="R16" s="12" t="s">
        <v>16</v>
      </c>
      <c r="S16" s="12" t="s">
        <v>17</v>
      </c>
      <c r="T16" s="12" t="s">
        <v>18</v>
      </c>
      <c r="U16" s="12" t="s">
        <v>14</v>
      </c>
      <c r="V16" s="12" t="s">
        <v>19</v>
      </c>
      <c r="W16" s="12" t="s">
        <v>20</v>
      </c>
    </row>
    <row r="17" spans="1:23" x14ac:dyDescent="0.25">
      <c r="A17" s="8">
        <v>1</v>
      </c>
      <c r="B17" s="19" t="str">
        <f>VLOOKUP($A17, Equipes!$A$3:$B$30, 2, FALSE)</f>
        <v>Willow</v>
      </c>
      <c r="C17" s="18">
        <v>2</v>
      </c>
      <c r="D17" s="20" t="s">
        <v>21</v>
      </c>
      <c r="E17" s="18">
        <v>0</v>
      </c>
      <c r="F17" s="21" t="str">
        <f>VLOOKUP($G17, Equipes!$A$3:$B$30, 2, FALSE)</f>
        <v>Pepe</v>
      </c>
      <c r="G17" s="22">
        <v>6</v>
      </c>
      <c r="H17" s="19">
        <v>13</v>
      </c>
      <c r="I17" s="19" t="s">
        <v>22</v>
      </c>
      <c r="J17" s="19">
        <v>2</v>
      </c>
      <c r="K17" s="19"/>
      <c r="M17" s="9" t="str">
        <f t="shared" ref="M17:M28" si="11">IF(OR(C17 = "",E17 = ""), "", B17)</f>
        <v>Willow</v>
      </c>
      <c r="N17" s="9" t="str">
        <f t="shared" ref="N17:N28" si="12">IF(OR(C17 = "",E17 = ""), "", F17)</f>
        <v>Pepe</v>
      </c>
      <c r="O17" s="9" t="str">
        <f t="shared" ref="O17:O28" si="13">IF(C17&gt;E17,B17, IF(E17&gt;C17,F17, ""))</f>
        <v>Willow</v>
      </c>
      <c r="P17" s="9" t="str">
        <f t="shared" ref="P17:P28" si="14">IF(OR(C17 = "",E17 = ""), "", IF(C17=E17,B17, ""))</f>
        <v/>
      </c>
      <c r="Q17" s="9" t="str">
        <f t="shared" ref="Q17:Q28" si="15">IF(OR(C17 = "",E17 = ""), "", IF(C17=E17,F17, ""))</f>
        <v/>
      </c>
      <c r="R17" s="9" t="str">
        <f t="shared" ref="R17:R28" si="16">IF(C17&gt;E17,F17, IF(E17&gt;C17,B17, ""))</f>
        <v>Pepe</v>
      </c>
      <c r="S17" s="9" t="str">
        <f t="shared" ref="S17:S28" si="17">IF(OR(C17 = "",E17 = ""), "", B17)</f>
        <v>Willow</v>
      </c>
      <c r="T17" s="9">
        <f t="shared" ref="T17:T28" si="18">IF(C17 = "", "", C17)</f>
        <v>2</v>
      </c>
      <c r="U17" s="9" t="str">
        <f t="shared" ref="U17:U28" si="19">IF(OR(C17 = "",E17 = ""), "", F17)</f>
        <v>Pepe</v>
      </c>
      <c r="V17" s="9">
        <f t="shared" ref="V17:V28" si="20">IF(E17 = "", "", E17)</f>
        <v>0</v>
      </c>
      <c r="W17" s="9">
        <f t="shared" ref="W17:W28" si="21">IF(C17 = "", "", C17)</f>
        <v>2</v>
      </c>
    </row>
    <row r="18" spans="1:23" x14ac:dyDescent="0.25">
      <c r="A18" s="8">
        <v>5</v>
      </c>
      <c r="B18" s="9" t="str">
        <f>VLOOKUP($A18, Equipes!$A$3:$B$30, 2, FALSE)</f>
        <v>Sergio Barreira</v>
      </c>
      <c r="C18" s="18">
        <v>2</v>
      </c>
      <c r="D18" s="10" t="s">
        <v>21</v>
      </c>
      <c r="E18" s="18">
        <v>1</v>
      </c>
      <c r="F18" s="11" t="str">
        <f>VLOOKUP($G18, Equipes!$A$3:$B$30, 2, FALSE)</f>
        <v>Cortez</v>
      </c>
      <c r="G18" s="8">
        <v>7</v>
      </c>
      <c r="H18" s="9">
        <v>11</v>
      </c>
      <c r="I18" s="9" t="s">
        <v>22</v>
      </c>
      <c r="J18" s="9">
        <v>2</v>
      </c>
      <c r="M18" s="9" t="str">
        <f t="shared" si="11"/>
        <v>Sergio Barreira</v>
      </c>
      <c r="N18" s="9" t="str">
        <f t="shared" si="12"/>
        <v>Cortez</v>
      </c>
      <c r="O18" s="9" t="str">
        <f t="shared" si="13"/>
        <v>Sergio Barreira</v>
      </c>
      <c r="P18" s="9" t="str">
        <f t="shared" si="14"/>
        <v/>
      </c>
      <c r="Q18" s="9" t="str">
        <f t="shared" si="15"/>
        <v/>
      </c>
      <c r="R18" s="9" t="str">
        <f t="shared" si="16"/>
        <v>Cortez</v>
      </c>
      <c r="S18" s="9" t="str">
        <f t="shared" si="17"/>
        <v>Sergio Barreira</v>
      </c>
      <c r="T18" s="9">
        <f t="shared" si="18"/>
        <v>2</v>
      </c>
      <c r="U18" s="9" t="str">
        <f t="shared" si="19"/>
        <v>Cortez</v>
      </c>
      <c r="V18" s="9">
        <f t="shared" si="20"/>
        <v>1</v>
      </c>
      <c r="W18" s="9">
        <f t="shared" si="21"/>
        <v>2</v>
      </c>
    </row>
    <row r="19" spans="1:23" x14ac:dyDescent="0.25">
      <c r="A19" s="8">
        <v>3</v>
      </c>
      <c r="B19" s="19" t="str">
        <f>VLOOKUP($A19, Equipes!$A$3:$B$30, 2, FALSE)</f>
        <v>Luiz Coelho</v>
      </c>
      <c r="C19" s="18">
        <v>1</v>
      </c>
      <c r="D19" s="20" t="s">
        <v>21</v>
      </c>
      <c r="E19" s="18">
        <v>0</v>
      </c>
      <c r="F19" s="21" t="str">
        <f>VLOOKUP($G19, Equipes!$A$3:$B$30, 2, FALSE)</f>
        <v>Afonso</v>
      </c>
      <c r="G19" s="22">
        <v>4</v>
      </c>
      <c r="H19" s="19">
        <v>4</v>
      </c>
      <c r="I19" s="19" t="s">
        <v>22</v>
      </c>
      <c r="J19" s="19">
        <v>2</v>
      </c>
      <c r="K19" s="19"/>
      <c r="M19" s="9" t="str">
        <f t="shared" si="11"/>
        <v>Luiz Coelho</v>
      </c>
      <c r="N19" s="9" t="str">
        <f t="shared" si="12"/>
        <v>Afonso</v>
      </c>
      <c r="O19" s="9" t="str">
        <f t="shared" si="13"/>
        <v>Luiz Coelho</v>
      </c>
      <c r="P19" s="9" t="str">
        <f t="shared" si="14"/>
        <v/>
      </c>
      <c r="Q19" s="9" t="str">
        <f t="shared" si="15"/>
        <v/>
      </c>
      <c r="R19" s="9" t="str">
        <f t="shared" si="16"/>
        <v>Afonso</v>
      </c>
      <c r="S19" s="9" t="str">
        <f t="shared" si="17"/>
        <v>Luiz Coelho</v>
      </c>
      <c r="T19" s="9">
        <f t="shared" si="18"/>
        <v>1</v>
      </c>
      <c r="U19" s="9" t="str">
        <f t="shared" si="19"/>
        <v>Afonso</v>
      </c>
      <c r="V19" s="9">
        <f t="shared" si="20"/>
        <v>0</v>
      </c>
      <c r="W19" s="9">
        <f t="shared" si="21"/>
        <v>1</v>
      </c>
    </row>
    <row r="20" spans="1:23" x14ac:dyDescent="0.25">
      <c r="A20" s="8">
        <v>8</v>
      </c>
      <c r="B20" s="9" t="str">
        <f>VLOOKUP($A20, Equipes!$A$3:$B$30, 2, FALSE)</f>
        <v>Teruel</v>
      </c>
      <c r="C20" s="18">
        <v>2</v>
      </c>
      <c r="D20" s="10" t="s">
        <v>21</v>
      </c>
      <c r="E20" s="18">
        <v>0</v>
      </c>
      <c r="F20" s="11" t="str">
        <f>VLOOKUP($G20, Equipes!$A$3:$B$30, 2, FALSE)</f>
        <v>Léo Carioca</v>
      </c>
      <c r="G20" s="8">
        <v>13</v>
      </c>
      <c r="H20" s="9">
        <v>8</v>
      </c>
      <c r="I20" s="9" t="s">
        <v>23</v>
      </c>
      <c r="J20" s="9">
        <v>2</v>
      </c>
      <c r="M20" s="9" t="str">
        <f t="shared" si="11"/>
        <v>Teruel</v>
      </c>
      <c r="N20" s="9" t="str">
        <f t="shared" si="12"/>
        <v>Léo Carioca</v>
      </c>
      <c r="O20" s="9" t="str">
        <f t="shared" si="13"/>
        <v>Teruel</v>
      </c>
      <c r="P20" s="9" t="str">
        <f t="shared" si="14"/>
        <v/>
      </c>
      <c r="Q20" s="9" t="str">
        <f t="shared" si="15"/>
        <v/>
      </c>
      <c r="R20" s="9" t="str">
        <f t="shared" si="16"/>
        <v>Léo Carioca</v>
      </c>
      <c r="S20" s="9" t="str">
        <f t="shared" si="17"/>
        <v>Teruel</v>
      </c>
      <c r="T20" s="9">
        <f t="shared" si="18"/>
        <v>2</v>
      </c>
      <c r="U20" s="9" t="str">
        <f t="shared" si="19"/>
        <v>Léo Carioca</v>
      </c>
      <c r="V20" s="9">
        <f t="shared" si="20"/>
        <v>0</v>
      </c>
      <c r="W20" s="9">
        <f t="shared" si="21"/>
        <v>2</v>
      </c>
    </row>
    <row r="21" spans="1:23" x14ac:dyDescent="0.25">
      <c r="A21" s="8">
        <v>12</v>
      </c>
      <c r="B21" s="19" t="str">
        <f>VLOOKUP($A21, Equipes!$A$3:$B$30, 2, FALSE)</f>
        <v>Reginaldo</v>
      </c>
      <c r="C21" s="18">
        <v>1</v>
      </c>
      <c r="D21" s="20" t="s">
        <v>21</v>
      </c>
      <c r="E21" s="18">
        <v>2</v>
      </c>
      <c r="F21" s="21" t="str">
        <f>VLOOKUP($G21, Equipes!$A$3:$B$30, 2, FALSE)</f>
        <v>Elsio</v>
      </c>
      <c r="G21" s="22">
        <v>14</v>
      </c>
      <c r="H21" s="19">
        <v>2</v>
      </c>
      <c r="I21" s="19" t="s">
        <v>23</v>
      </c>
      <c r="J21" s="19">
        <v>2</v>
      </c>
      <c r="K21" s="19"/>
      <c r="M21" s="9" t="str">
        <f t="shared" si="11"/>
        <v>Reginaldo</v>
      </c>
      <c r="N21" s="9" t="str">
        <f t="shared" si="12"/>
        <v>Elsio</v>
      </c>
      <c r="O21" s="9" t="str">
        <f t="shared" si="13"/>
        <v>Elsio</v>
      </c>
      <c r="P21" s="9" t="str">
        <f t="shared" si="14"/>
        <v/>
      </c>
      <c r="Q21" s="9" t="str">
        <f t="shared" si="15"/>
        <v/>
      </c>
      <c r="R21" s="9" t="str">
        <f t="shared" si="16"/>
        <v>Reginaldo</v>
      </c>
      <c r="S21" s="9" t="str">
        <f t="shared" si="17"/>
        <v>Reginaldo</v>
      </c>
      <c r="T21" s="9">
        <f t="shared" si="18"/>
        <v>1</v>
      </c>
      <c r="U21" s="9" t="str">
        <f t="shared" si="19"/>
        <v>Elsio</v>
      </c>
      <c r="V21" s="9">
        <f t="shared" si="20"/>
        <v>2</v>
      </c>
      <c r="W21" s="9">
        <f t="shared" si="21"/>
        <v>1</v>
      </c>
    </row>
    <row r="22" spans="1:23" x14ac:dyDescent="0.25">
      <c r="A22" s="8">
        <v>10</v>
      </c>
      <c r="B22" s="9" t="str">
        <f>VLOOKUP($A22, Equipes!$A$3:$B$30, 2, FALSE)</f>
        <v>Ruas</v>
      </c>
      <c r="C22" s="18">
        <v>5</v>
      </c>
      <c r="D22" s="10" t="s">
        <v>21</v>
      </c>
      <c r="E22" s="18">
        <v>0</v>
      </c>
      <c r="F22" s="11" t="str">
        <f>VLOOKUP($G22, Equipes!$A$3:$B$30, 2, FALSE)</f>
        <v>Mario</v>
      </c>
      <c r="G22" s="8">
        <v>11</v>
      </c>
      <c r="H22" s="9">
        <v>3</v>
      </c>
      <c r="I22" s="9" t="s">
        <v>23</v>
      </c>
      <c r="J22" s="9">
        <v>2</v>
      </c>
      <c r="M22" s="9" t="str">
        <f t="shared" si="11"/>
        <v>Ruas</v>
      </c>
      <c r="N22" s="9" t="str">
        <f t="shared" si="12"/>
        <v>Mario</v>
      </c>
      <c r="O22" s="9" t="str">
        <f t="shared" si="13"/>
        <v>Ruas</v>
      </c>
      <c r="P22" s="9" t="str">
        <f t="shared" si="14"/>
        <v/>
      </c>
      <c r="Q22" s="9" t="str">
        <f t="shared" si="15"/>
        <v/>
      </c>
      <c r="R22" s="9" t="str">
        <f t="shared" si="16"/>
        <v>Mario</v>
      </c>
      <c r="S22" s="9" t="str">
        <f t="shared" si="17"/>
        <v>Ruas</v>
      </c>
      <c r="T22" s="9">
        <f t="shared" si="18"/>
        <v>5</v>
      </c>
      <c r="U22" s="9" t="str">
        <f t="shared" si="19"/>
        <v>Mario</v>
      </c>
      <c r="V22" s="9">
        <f t="shared" si="20"/>
        <v>0</v>
      </c>
      <c r="W22" s="9">
        <f t="shared" si="21"/>
        <v>5</v>
      </c>
    </row>
    <row r="23" spans="1:23" x14ac:dyDescent="0.25">
      <c r="A23" s="8">
        <v>15</v>
      </c>
      <c r="B23" s="19" t="str">
        <f>VLOOKUP($A23, Equipes!$A$3:$B$30, 2, FALSE)</f>
        <v>Vinicius Rolim</v>
      </c>
      <c r="C23" s="18">
        <v>3</v>
      </c>
      <c r="D23" s="20" t="s">
        <v>21</v>
      </c>
      <c r="E23" s="18">
        <v>1</v>
      </c>
      <c r="F23" s="21" t="str">
        <f>VLOOKUP($G23, Equipes!$A$3:$B$30, 2, FALSE)</f>
        <v>Erismar</v>
      </c>
      <c r="G23" s="22">
        <v>20</v>
      </c>
      <c r="H23" s="19">
        <v>10</v>
      </c>
      <c r="I23" s="19" t="s">
        <v>24</v>
      </c>
      <c r="J23" s="19">
        <v>2</v>
      </c>
      <c r="K23" s="19"/>
      <c r="M23" s="9" t="str">
        <f t="shared" si="11"/>
        <v>Vinicius Rolim</v>
      </c>
      <c r="N23" s="9" t="str">
        <f t="shared" si="12"/>
        <v>Erismar</v>
      </c>
      <c r="O23" s="9" t="str">
        <f t="shared" si="13"/>
        <v>Vinicius Rolim</v>
      </c>
      <c r="P23" s="9" t="str">
        <f t="shared" si="14"/>
        <v/>
      </c>
      <c r="Q23" s="9" t="str">
        <f t="shared" si="15"/>
        <v/>
      </c>
      <c r="R23" s="9" t="str">
        <f t="shared" si="16"/>
        <v>Erismar</v>
      </c>
      <c r="S23" s="9" t="str">
        <f t="shared" si="17"/>
        <v>Vinicius Rolim</v>
      </c>
      <c r="T23" s="9">
        <f t="shared" si="18"/>
        <v>3</v>
      </c>
      <c r="U23" s="9" t="str">
        <f t="shared" si="19"/>
        <v>Erismar</v>
      </c>
      <c r="V23" s="9">
        <f t="shared" si="20"/>
        <v>1</v>
      </c>
      <c r="W23" s="9">
        <f t="shared" si="21"/>
        <v>3</v>
      </c>
    </row>
    <row r="24" spans="1:23" x14ac:dyDescent="0.25">
      <c r="A24" s="8">
        <v>19</v>
      </c>
      <c r="B24" s="9" t="str">
        <f>VLOOKUP($A24, Equipes!$A$3:$B$30, 2, FALSE)</f>
        <v>Rodrigo Moro</v>
      </c>
      <c r="C24" s="18">
        <v>2</v>
      </c>
      <c r="D24" s="10" t="s">
        <v>21</v>
      </c>
      <c r="E24" s="18">
        <v>3</v>
      </c>
      <c r="F24" s="11" t="str">
        <f>VLOOKUP($G24, Equipes!$A$3:$B$30, 2, FALSE)</f>
        <v xml:space="preserve">Marcão </v>
      </c>
      <c r="G24" s="8">
        <v>21</v>
      </c>
      <c r="H24" s="9">
        <v>12</v>
      </c>
      <c r="I24" s="9" t="s">
        <v>24</v>
      </c>
      <c r="J24" s="9">
        <v>2</v>
      </c>
      <c r="M24" s="9" t="str">
        <f t="shared" si="11"/>
        <v>Rodrigo Moro</v>
      </c>
      <c r="N24" s="9" t="str">
        <f t="shared" si="12"/>
        <v xml:space="preserve">Marcão </v>
      </c>
      <c r="O24" s="9" t="str">
        <f t="shared" si="13"/>
        <v xml:space="preserve">Marcão </v>
      </c>
      <c r="P24" s="9" t="str">
        <f t="shared" si="14"/>
        <v/>
      </c>
      <c r="Q24" s="9" t="str">
        <f t="shared" si="15"/>
        <v/>
      </c>
      <c r="R24" s="9" t="str">
        <f t="shared" si="16"/>
        <v>Rodrigo Moro</v>
      </c>
      <c r="S24" s="9" t="str">
        <f t="shared" si="17"/>
        <v>Rodrigo Moro</v>
      </c>
      <c r="T24" s="9">
        <f t="shared" si="18"/>
        <v>2</v>
      </c>
      <c r="U24" s="9" t="str">
        <f t="shared" si="19"/>
        <v xml:space="preserve">Marcão </v>
      </c>
      <c r="V24" s="9">
        <f t="shared" si="20"/>
        <v>3</v>
      </c>
      <c r="W24" s="9">
        <f t="shared" si="21"/>
        <v>2</v>
      </c>
    </row>
    <row r="25" spans="1:23" x14ac:dyDescent="0.25">
      <c r="A25" s="8">
        <v>17</v>
      </c>
      <c r="B25" s="19" t="str">
        <f>VLOOKUP($A25, Equipes!$A$3:$B$30, 2, FALSE)</f>
        <v>Diogo</v>
      </c>
      <c r="C25" s="18">
        <v>3</v>
      </c>
      <c r="D25" s="20" t="s">
        <v>21</v>
      </c>
      <c r="E25" s="18">
        <v>2</v>
      </c>
      <c r="F25" s="21" t="str">
        <f>VLOOKUP($G25, Equipes!$A$3:$B$30, 2, FALSE)</f>
        <v>Felix</v>
      </c>
      <c r="G25" s="22">
        <v>18</v>
      </c>
      <c r="H25" s="19">
        <v>7</v>
      </c>
      <c r="I25" s="19" t="s">
        <v>24</v>
      </c>
      <c r="J25" s="19">
        <v>2</v>
      </c>
      <c r="K25" s="19"/>
      <c r="M25" s="9" t="str">
        <f t="shared" si="11"/>
        <v>Diogo</v>
      </c>
      <c r="N25" s="9" t="str">
        <f t="shared" si="12"/>
        <v>Felix</v>
      </c>
      <c r="O25" s="9" t="str">
        <f t="shared" si="13"/>
        <v>Diogo</v>
      </c>
      <c r="P25" s="9" t="str">
        <f t="shared" si="14"/>
        <v/>
      </c>
      <c r="Q25" s="9" t="str">
        <f t="shared" si="15"/>
        <v/>
      </c>
      <c r="R25" s="9" t="str">
        <f t="shared" si="16"/>
        <v>Felix</v>
      </c>
      <c r="S25" s="9" t="str">
        <f t="shared" si="17"/>
        <v>Diogo</v>
      </c>
      <c r="T25" s="9">
        <f t="shared" si="18"/>
        <v>3</v>
      </c>
      <c r="U25" s="9" t="str">
        <f t="shared" si="19"/>
        <v>Felix</v>
      </c>
      <c r="V25" s="9">
        <f t="shared" si="20"/>
        <v>2</v>
      </c>
      <c r="W25" s="9">
        <f t="shared" si="21"/>
        <v>3</v>
      </c>
    </row>
    <row r="26" spans="1:23" x14ac:dyDescent="0.25">
      <c r="A26" s="8">
        <v>22</v>
      </c>
      <c r="B26" s="9" t="str">
        <f>VLOOKUP($A26, Equipes!$A$3:$B$30, 2, FALSE)</f>
        <v>Galdeano</v>
      </c>
      <c r="C26" s="18">
        <v>2</v>
      </c>
      <c r="D26" s="10" t="s">
        <v>21</v>
      </c>
      <c r="E26" s="18">
        <v>1</v>
      </c>
      <c r="F26" s="11" t="str">
        <f>VLOOKUP($G26, Equipes!$A$3:$B$30, 2, FALSE)</f>
        <v>Mario Mili</v>
      </c>
      <c r="G26" s="8">
        <v>27</v>
      </c>
      <c r="H26" s="9">
        <v>6</v>
      </c>
      <c r="I26" s="9" t="s">
        <v>16</v>
      </c>
      <c r="J26" s="9">
        <v>2</v>
      </c>
      <c r="M26" s="9" t="str">
        <f t="shared" si="11"/>
        <v>Galdeano</v>
      </c>
      <c r="N26" s="9" t="str">
        <f t="shared" si="12"/>
        <v>Mario Mili</v>
      </c>
      <c r="O26" s="9" t="str">
        <f t="shared" si="13"/>
        <v>Galdeano</v>
      </c>
      <c r="P26" s="9" t="str">
        <f t="shared" si="14"/>
        <v/>
      </c>
      <c r="Q26" s="9" t="str">
        <f t="shared" si="15"/>
        <v/>
      </c>
      <c r="R26" s="9" t="str">
        <f t="shared" si="16"/>
        <v>Mario Mili</v>
      </c>
      <c r="S26" s="9" t="str">
        <f t="shared" si="17"/>
        <v>Galdeano</v>
      </c>
      <c r="T26" s="9">
        <f t="shared" si="18"/>
        <v>2</v>
      </c>
      <c r="U26" s="9" t="str">
        <f t="shared" si="19"/>
        <v>Mario Mili</v>
      </c>
      <c r="V26" s="9">
        <f t="shared" si="20"/>
        <v>1</v>
      </c>
      <c r="W26" s="9">
        <f t="shared" si="21"/>
        <v>2</v>
      </c>
    </row>
    <row r="27" spans="1:23" x14ac:dyDescent="0.25">
      <c r="A27" s="8">
        <v>26</v>
      </c>
      <c r="B27" s="19" t="str">
        <f>VLOOKUP($A27, Equipes!$A$3:$B$30, 2, FALSE)</f>
        <v>Coelho</v>
      </c>
      <c r="C27" s="18">
        <v>1</v>
      </c>
      <c r="D27" s="20" t="s">
        <v>21</v>
      </c>
      <c r="E27" s="18">
        <v>1</v>
      </c>
      <c r="F27" s="21" t="str">
        <f>VLOOKUP($G27, Equipes!$A$3:$B$30, 2, FALSE)</f>
        <v>Zé Luiz</v>
      </c>
      <c r="G27" s="22">
        <v>28</v>
      </c>
      <c r="H27" s="19">
        <v>1</v>
      </c>
      <c r="I27" s="19" t="s">
        <v>16</v>
      </c>
      <c r="J27" s="19">
        <v>2</v>
      </c>
      <c r="K27" s="19"/>
      <c r="M27" s="9" t="str">
        <f t="shared" si="11"/>
        <v>Coelho</v>
      </c>
      <c r="N27" s="9" t="str">
        <f t="shared" si="12"/>
        <v>Zé Luiz</v>
      </c>
      <c r="O27" s="9" t="str">
        <f t="shared" si="13"/>
        <v/>
      </c>
      <c r="P27" s="9" t="str">
        <f t="shared" si="14"/>
        <v>Coelho</v>
      </c>
      <c r="Q27" s="9" t="str">
        <f t="shared" si="15"/>
        <v>Zé Luiz</v>
      </c>
      <c r="R27" s="9" t="str">
        <f t="shared" si="16"/>
        <v/>
      </c>
      <c r="S27" s="9" t="str">
        <f t="shared" si="17"/>
        <v>Coelho</v>
      </c>
      <c r="T27" s="9">
        <f t="shared" si="18"/>
        <v>1</v>
      </c>
      <c r="U27" s="9" t="str">
        <f t="shared" si="19"/>
        <v>Zé Luiz</v>
      </c>
      <c r="V27" s="9">
        <f t="shared" si="20"/>
        <v>1</v>
      </c>
      <c r="W27" s="9">
        <f t="shared" si="21"/>
        <v>1</v>
      </c>
    </row>
    <row r="28" spans="1:23" x14ac:dyDescent="0.25">
      <c r="A28" s="8">
        <v>24</v>
      </c>
      <c r="B28" s="9" t="str">
        <f>VLOOKUP($A28, Equipes!$A$3:$B$30, 2, FALSE)</f>
        <v>Tabajara</v>
      </c>
      <c r="C28" s="18">
        <v>4</v>
      </c>
      <c r="D28" s="10" t="s">
        <v>21</v>
      </c>
      <c r="E28" s="18">
        <v>1</v>
      </c>
      <c r="F28" s="11" t="str">
        <f>VLOOKUP($G28, Equipes!$A$3:$B$30, 2, FALSE)</f>
        <v>Rafael Balieiro</v>
      </c>
      <c r="G28" s="8">
        <v>25</v>
      </c>
      <c r="H28" s="9">
        <v>5</v>
      </c>
      <c r="I28" s="9" t="s">
        <v>16</v>
      </c>
      <c r="J28" s="9">
        <v>2</v>
      </c>
      <c r="M28" s="9" t="str">
        <f t="shared" si="11"/>
        <v>Tabajara</v>
      </c>
      <c r="N28" s="9" t="str">
        <f t="shared" si="12"/>
        <v>Rafael Balieiro</v>
      </c>
      <c r="O28" s="9" t="str">
        <f t="shared" si="13"/>
        <v>Tabajara</v>
      </c>
      <c r="P28" s="9" t="str">
        <f t="shared" si="14"/>
        <v/>
      </c>
      <c r="Q28" s="9" t="str">
        <f t="shared" si="15"/>
        <v/>
      </c>
      <c r="R28" s="9" t="str">
        <f t="shared" si="16"/>
        <v>Rafael Balieiro</v>
      </c>
      <c r="S28" s="9" t="str">
        <f t="shared" si="17"/>
        <v>Tabajara</v>
      </c>
      <c r="T28" s="9">
        <f t="shared" si="18"/>
        <v>4</v>
      </c>
      <c r="U28" s="9" t="str">
        <f t="shared" si="19"/>
        <v>Rafael Balieiro</v>
      </c>
      <c r="V28" s="9">
        <f t="shared" si="20"/>
        <v>1</v>
      </c>
      <c r="W28" s="9">
        <f t="shared" si="21"/>
        <v>4</v>
      </c>
    </row>
    <row r="29" spans="1:23" x14ac:dyDescent="0.25">
      <c r="B29" s="13" t="s">
        <v>26</v>
      </c>
      <c r="C29" s="14"/>
      <c r="D29" s="14"/>
      <c r="E29" s="14"/>
      <c r="F29" s="15"/>
      <c r="G29" s="16"/>
      <c r="H29" s="13" t="s">
        <v>10</v>
      </c>
      <c r="I29" s="13" t="s">
        <v>11</v>
      </c>
      <c r="J29" s="13" t="s">
        <v>12</v>
      </c>
      <c r="K29" s="17">
        <f>K3 + TIME(0,40,0)</f>
        <v>45018.611111111117</v>
      </c>
      <c r="M29" s="12" t="s">
        <v>13</v>
      </c>
      <c r="N29" s="12" t="s">
        <v>13</v>
      </c>
      <c r="O29" s="12" t="s">
        <v>14</v>
      </c>
      <c r="P29" s="12" t="s">
        <v>15</v>
      </c>
      <c r="Q29" s="12" t="s">
        <v>15</v>
      </c>
      <c r="R29" s="12" t="s">
        <v>16</v>
      </c>
      <c r="S29" s="12" t="s">
        <v>17</v>
      </c>
      <c r="T29" s="12" t="s">
        <v>18</v>
      </c>
      <c r="U29" s="12" t="s">
        <v>14</v>
      </c>
      <c r="V29" s="12" t="s">
        <v>19</v>
      </c>
      <c r="W29" s="12" t="s">
        <v>20</v>
      </c>
    </row>
    <row r="30" spans="1:23" x14ac:dyDescent="0.25">
      <c r="A30" s="8">
        <v>1</v>
      </c>
      <c r="B30" s="9" t="str">
        <f>VLOOKUP($A30, Equipes!$A$3:$B$30, 2, FALSE)</f>
        <v>Willow</v>
      </c>
      <c r="C30" s="18">
        <v>4</v>
      </c>
      <c r="D30" s="10" t="s">
        <v>21</v>
      </c>
      <c r="E30" s="18">
        <v>0</v>
      </c>
      <c r="F30" s="11" t="str">
        <f>VLOOKUP($G30, Equipes!$A$3:$B$30, 2, FALSE)</f>
        <v>Cortez</v>
      </c>
      <c r="G30" s="8">
        <v>7</v>
      </c>
      <c r="H30" s="9">
        <v>12</v>
      </c>
      <c r="I30" s="9" t="s">
        <v>22</v>
      </c>
      <c r="J30" s="9">
        <v>3</v>
      </c>
      <c r="M30" s="9" t="str">
        <f t="shared" ref="M30:M41" si="22">IF(OR(C30 = "",E30 = ""), "", B30)</f>
        <v>Willow</v>
      </c>
      <c r="N30" s="9" t="str">
        <f t="shared" ref="N30:N41" si="23">IF(OR(C30 = "",E30 = ""), "", F30)</f>
        <v>Cortez</v>
      </c>
      <c r="O30" s="9" t="str">
        <f t="shared" ref="O30:O41" si="24">IF(C30&gt;E30,B30, IF(E30&gt;C30,F30, ""))</f>
        <v>Willow</v>
      </c>
      <c r="P30" s="9" t="str">
        <f t="shared" ref="P30:P41" si="25">IF(OR(C30 = "",E30 = ""), "", IF(C30=E30,B30, ""))</f>
        <v/>
      </c>
      <c r="Q30" s="9" t="str">
        <f t="shared" ref="Q30:Q41" si="26">IF(OR(C30 = "",E30 = ""), "", IF(C30=E30,F30, ""))</f>
        <v/>
      </c>
      <c r="R30" s="9" t="str">
        <f t="shared" ref="R30:R41" si="27">IF(C30&gt;E30,F30, IF(E30&gt;C30,B30, ""))</f>
        <v>Cortez</v>
      </c>
      <c r="S30" s="9" t="str">
        <f t="shared" ref="S30:S41" si="28">IF(OR(C30 = "",E30 = ""), "", B30)</f>
        <v>Willow</v>
      </c>
      <c r="T30" s="9">
        <f t="shared" ref="T30:T41" si="29">IF(C30 = "", "", C30)</f>
        <v>4</v>
      </c>
      <c r="U30" s="9" t="str">
        <f t="shared" ref="U30:U41" si="30">IF(OR(C30 = "",E30 = ""), "", F30)</f>
        <v>Cortez</v>
      </c>
      <c r="V30" s="9">
        <f t="shared" ref="V30:V41" si="31">IF(E30 = "", "", E30)</f>
        <v>0</v>
      </c>
      <c r="W30" s="9">
        <f t="shared" ref="W30:W41" si="32">IF(C30 = "", "", C30)</f>
        <v>4</v>
      </c>
    </row>
    <row r="31" spans="1:23" x14ac:dyDescent="0.25">
      <c r="A31" s="8">
        <v>5</v>
      </c>
      <c r="B31" s="19" t="str">
        <f>VLOOKUP($A31, Equipes!$A$3:$B$30, 2, FALSE)</f>
        <v>Sergio Barreira</v>
      </c>
      <c r="C31" s="18">
        <v>0</v>
      </c>
      <c r="D31" s="20" t="s">
        <v>21</v>
      </c>
      <c r="E31" s="18">
        <v>0</v>
      </c>
      <c r="F31" s="21" t="str">
        <f>VLOOKUP($G31, Equipes!$A$3:$B$30, 2, FALSE)</f>
        <v>Afonso</v>
      </c>
      <c r="G31" s="22">
        <v>4</v>
      </c>
      <c r="H31" s="19">
        <v>5</v>
      </c>
      <c r="I31" s="19" t="s">
        <v>22</v>
      </c>
      <c r="J31" s="19">
        <v>3</v>
      </c>
      <c r="K31" s="19"/>
      <c r="M31" s="9" t="str">
        <f t="shared" si="22"/>
        <v>Sergio Barreira</v>
      </c>
      <c r="N31" s="9" t="str">
        <f t="shared" si="23"/>
        <v>Afonso</v>
      </c>
      <c r="O31" s="9" t="str">
        <f t="shared" si="24"/>
        <v/>
      </c>
      <c r="P31" s="9" t="str">
        <f t="shared" si="25"/>
        <v>Sergio Barreira</v>
      </c>
      <c r="Q31" s="9" t="str">
        <f t="shared" si="26"/>
        <v>Afonso</v>
      </c>
      <c r="R31" s="9" t="str">
        <f t="shared" si="27"/>
        <v/>
      </c>
      <c r="S31" s="9" t="str">
        <f t="shared" si="28"/>
        <v>Sergio Barreira</v>
      </c>
      <c r="T31" s="9">
        <f t="shared" si="29"/>
        <v>0</v>
      </c>
      <c r="U31" s="9" t="str">
        <f t="shared" si="30"/>
        <v>Afonso</v>
      </c>
      <c r="V31" s="9">
        <f t="shared" si="31"/>
        <v>0</v>
      </c>
      <c r="W31" s="9">
        <f t="shared" si="32"/>
        <v>0</v>
      </c>
    </row>
    <row r="32" spans="1:23" x14ac:dyDescent="0.25">
      <c r="A32" s="8">
        <v>2</v>
      </c>
      <c r="B32" s="9" t="str">
        <f>VLOOKUP($A32, Equipes!$A$3:$B$30, 2, FALSE)</f>
        <v>DJ Iury</v>
      </c>
      <c r="C32" s="18">
        <v>1</v>
      </c>
      <c r="D32" s="10" t="s">
        <v>21</v>
      </c>
      <c r="E32" s="18">
        <v>2</v>
      </c>
      <c r="F32" s="11" t="str">
        <f>VLOOKUP($G32, Equipes!$A$3:$B$30, 2, FALSE)</f>
        <v>Luiz Coelho</v>
      </c>
      <c r="G32" s="8">
        <v>3</v>
      </c>
      <c r="H32" s="9">
        <v>8</v>
      </c>
      <c r="I32" s="9" t="s">
        <v>22</v>
      </c>
      <c r="J32" s="9">
        <v>3</v>
      </c>
      <c r="M32" s="9" t="str">
        <f t="shared" si="22"/>
        <v>DJ Iury</v>
      </c>
      <c r="N32" s="9" t="str">
        <f t="shared" si="23"/>
        <v>Luiz Coelho</v>
      </c>
      <c r="O32" s="9" t="str">
        <f t="shared" si="24"/>
        <v>Luiz Coelho</v>
      </c>
      <c r="P32" s="9" t="str">
        <f t="shared" si="25"/>
        <v/>
      </c>
      <c r="Q32" s="9" t="str">
        <f t="shared" si="26"/>
        <v/>
      </c>
      <c r="R32" s="9" t="str">
        <f t="shared" si="27"/>
        <v>DJ Iury</v>
      </c>
      <c r="S32" s="9" t="str">
        <f t="shared" si="28"/>
        <v>DJ Iury</v>
      </c>
      <c r="T32" s="9">
        <f t="shared" si="29"/>
        <v>1</v>
      </c>
      <c r="U32" s="9" t="str">
        <f t="shared" si="30"/>
        <v>Luiz Coelho</v>
      </c>
      <c r="V32" s="9">
        <f t="shared" si="31"/>
        <v>2</v>
      </c>
      <c r="W32" s="9">
        <f t="shared" si="32"/>
        <v>1</v>
      </c>
    </row>
    <row r="33" spans="1:23" x14ac:dyDescent="0.25">
      <c r="A33" s="8">
        <v>8</v>
      </c>
      <c r="B33" s="19" t="str">
        <f>VLOOKUP($A33, Equipes!$A$3:$B$30, 2, FALSE)</f>
        <v>Teruel</v>
      </c>
      <c r="C33" s="18">
        <v>1</v>
      </c>
      <c r="D33" s="20" t="s">
        <v>21</v>
      </c>
      <c r="E33" s="18">
        <v>1</v>
      </c>
      <c r="F33" s="21" t="str">
        <f>VLOOKUP($G33, Equipes!$A$3:$B$30, 2, FALSE)</f>
        <v>Elsio</v>
      </c>
      <c r="G33" s="22">
        <v>14</v>
      </c>
      <c r="H33" s="19">
        <v>1</v>
      </c>
      <c r="I33" s="19" t="s">
        <v>23</v>
      </c>
      <c r="J33" s="19">
        <v>3</v>
      </c>
      <c r="K33" s="19"/>
      <c r="M33" s="9" t="str">
        <f t="shared" si="22"/>
        <v>Teruel</v>
      </c>
      <c r="N33" s="9" t="str">
        <f t="shared" si="23"/>
        <v>Elsio</v>
      </c>
      <c r="O33" s="9" t="str">
        <f t="shared" si="24"/>
        <v/>
      </c>
      <c r="P33" s="9" t="str">
        <f t="shared" si="25"/>
        <v>Teruel</v>
      </c>
      <c r="Q33" s="9" t="str">
        <f t="shared" si="26"/>
        <v>Elsio</v>
      </c>
      <c r="R33" s="9" t="str">
        <f t="shared" si="27"/>
        <v/>
      </c>
      <c r="S33" s="9" t="str">
        <f t="shared" si="28"/>
        <v>Teruel</v>
      </c>
      <c r="T33" s="9">
        <f t="shared" si="29"/>
        <v>1</v>
      </c>
      <c r="U33" s="9" t="str">
        <f t="shared" si="30"/>
        <v>Elsio</v>
      </c>
      <c r="V33" s="9">
        <f t="shared" si="31"/>
        <v>1</v>
      </c>
      <c r="W33" s="9">
        <f t="shared" si="32"/>
        <v>1</v>
      </c>
    </row>
    <row r="34" spans="1:23" x14ac:dyDescent="0.25">
      <c r="A34" s="8">
        <v>12</v>
      </c>
      <c r="B34" s="9" t="str">
        <f>VLOOKUP($A34, Equipes!$A$3:$B$30, 2, FALSE)</f>
        <v>Reginaldo</v>
      </c>
      <c r="C34" s="18">
        <v>0</v>
      </c>
      <c r="D34" s="10" t="s">
        <v>21</v>
      </c>
      <c r="E34" s="18">
        <v>1</v>
      </c>
      <c r="F34" s="11" t="str">
        <f>VLOOKUP($G34, Equipes!$A$3:$B$30, 2, FALSE)</f>
        <v>Mario</v>
      </c>
      <c r="G34" s="8">
        <v>11</v>
      </c>
      <c r="H34" s="9">
        <v>13</v>
      </c>
      <c r="I34" s="9" t="s">
        <v>23</v>
      </c>
      <c r="J34" s="9">
        <v>3</v>
      </c>
      <c r="M34" s="9" t="str">
        <f t="shared" si="22"/>
        <v>Reginaldo</v>
      </c>
      <c r="N34" s="9" t="str">
        <f t="shared" si="23"/>
        <v>Mario</v>
      </c>
      <c r="O34" s="9" t="str">
        <f t="shared" si="24"/>
        <v>Mario</v>
      </c>
      <c r="P34" s="9" t="str">
        <f t="shared" si="25"/>
        <v/>
      </c>
      <c r="Q34" s="9" t="str">
        <f t="shared" si="26"/>
        <v/>
      </c>
      <c r="R34" s="9" t="str">
        <f t="shared" si="27"/>
        <v>Reginaldo</v>
      </c>
      <c r="S34" s="9" t="str">
        <f t="shared" si="28"/>
        <v>Reginaldo</v>
      </c>
      <c r="T34" s="9">
        <f t="shared" si="29"/>
        <v>0</v>
      </c>
      <c r="U34" s="9" t="str">
        <f t="shared" si="30"/>
        <v>Mario</v>
      </c>
      <c r="V34" s="9">
        <f t="shared" si="31"/>
        <v>1</v>
      </c>
      <c r="W34" s="9">
        <f t="shared" si="32"/>
        <v>0</v>
      </c>
    </row>
    <row r="35" spans="1:23" x14ac:dyDescent="0.25">
      <c r="A35" s="8">
        <v>9</v>
      </c>
      <c r="B35" s="19" t="str">
        <f>VLOOKUP($A35, Equipes!$A$3:$B$30, 2, FALSE)</f>
        <v>Tupinamba</v>
      </c>
      <c r="C35" s="18">
        <v>0</v>
      </c>
      <c r="D35" s="20" t="s">
        <v>21</v>
      </c>
      <c r="E35" s="18">
        <v>4</v>
      </c>
      <c r="F35" s="21" t="str">
        <f>VLOOKUP($G35, Equipes!$A$3:$B$30, 2, FALSE)</f>
        <v>Ruas</v>
      </c>
      <c r="G35" s="22">
        <v>10</v>
      </c>
      <c r="H35" s="19">
        <v>7</v>
      </c>
      <c r="I35" s="19" t="s">
        <v>23</v>
      </c>
      <c r="J35" s="19">
        <v>3</v>
      </c>
      <c r="K35" s="19"/>
      <c r="M35" s="9" t="str">
        <f t="shared" si="22"/>
        <v>Tupinamba</v>
      </c>
      <c r="N35" s="9" t="str">
        <f t="shared" si="23"/>
        <v>Ruas</v>
      </c>
      <c r="O35" s="9" t="str">
        <f t="shared" si="24"/>
        <v>Ruas</v>
      </c>
      <c r="P35" s="9" t="str">
        <f t="shared" si="25"/>
        <v/>
      </c>
      <c r="Q35" s="9" t="str">
        <f t="shared" si="26"/>
        <v/>
      </c>
      <c r="R35" s="9" t="str">
        <f t="shared" si="27"/>
        <v>Tupinamba</v>
      </c>
      <c r="S35" s="9" t="str">
        <f t="shared" si="28"/>
        <v>Tupinamba</v>
      </c>
      <c r="T35" s="9">
        <f t="shared" si="29"/>
        <v>0</v>
      </c>
      <c r="U35" s="9" t="str">
        <f t="shared" si="30"/>
        <v>Ruas</v>
      </c>
      <c r="V35" s="9">
        <f t="shared" si="31"/>
        <v>4</v>
      </c>
      <c r="W35" s="9">
        <f t="shared" si="32"/>
        <v>0</v>
      </c>
    </row>
    <row r="36" spans="1:23" x14ac:dyDescent="0.25">
      <c r="A36" s="8">
        <v>15</v>
      </c>
      <c r="B36" s="9" t="str">
        <f>VLOOKUP($A36, Equipes!$A$3:$B$30, 2, FALSE)</f>
        <v>Vinicius Rolim</v>
      </c>
      <c r="C36" s="18">
        <v>3</v>
      </c>
      <c r="D36" s="10" t="s">
        <v>21</v>
      </c>
      <c r="E36" s="18">
        <v>3</v>
      </c>
      <c r="F36" s="11" t="str">
        <f>VLOOKUP($G36, Equipes!$A$3:$B$30, 2, FALSE)</f>
        <v xml:space="preserve">Marcão </v>
      </c>
      <c r="G36" s="8">
        <v>21</v>
      </c>
      <c r="H36" s="9">
        <v>6</v>
      </c>
      <c r="I36" s="9" t="s">
        <v>24</v>
      </c>
      <c r="J36" s="9">
        <v>3</v>
      </c>
      <c r="M36" s="9" t="str">
        <f t="shared" si="22"/>
        <v>Vinicius Rolim</v>
      </c>
      <c r="N36" s="9" t="str">
        <f t="shared" si="23"/>
        <v xml:space="preserve">Marcão </v>
      </c>
      <c r="O36" s="9" t="str">
        <f t="shared" si="24"/>
        <v/>
      </c>
      <c r="P36" s="9" t="str">
        <f t="shared" si="25"/>
        <v>Vinicius Rolim</v>
      </c>
      <c r="Q36" s="9" t="str">
        <f t="shared" si="26"/>
        <v xml:space="preserve">Marcão </v>
      </c>
      <c r="R36" s="9" t="str">
        <f t="shared" si="27"/>
        <v/>
      </c>
      <c r="S36" s="9" t="str">
        <f t="shared" si="28"/>
        <v>Vinicius Rolim</v>
      </c>
      <c r="T36" s="9">
        <f t="shared" si="29"/>
        <v>3</v>
      </c>
      <c r="U36" s="9" t="str">
        <f t="shared" si="30"/>
        <v xml:space="preserve">Marcão </v>
      </c>
      <c r="V36" s="9">
        <f t="shared" si="31"/>
        <v>3</v>
      </c>
      <c r="W36" s="9">
        <f t="shared" si="32"/>
        <v>3</v>
      </c>
    </row>
    <row r="37" spans="1:23" x14ac:dyDescent="0.25">
      <c r="A37" s="8">
        <v>19</v>
      </c>
      <c r="B37" s="19" t="str">
        <f>VLOOKUP($A37, Equipes!$A$3:$B$30, 2, FALSE)</f>
        <v>Rodrigo Moro</v>
      </c>
      <c r="C37" s="18">
        <v>3</v>
      </c>
      <c r="D37" s="20" t="s">
        <v>21</v>
      </c>
      <c r="E37" s="18">
        <v>1</v>
      </c>
      <c r="F37" s="21" t="str">
        <f>VLOOKUP($G37, Equipes!$A$3:$B$30, 2, FALSE)</f>
        <v>Felix</v>
      </c>
      <c r="G37" s="22">
        <v>18</v>
      </c>
      <c r="H37" s="19">
        <v>4</v>
      </c>
      <c r="I37" s="19" t="s">
        <v>24</v>
      </c>
      <c r="J37" s="19">
        <v>3</v>
      </c>
      <c r="K37" s="19"/>
      <c r="M37" s="9" t="str">
        <f t="shared" si="22"/>
        <v>Rodrigo Moro</v>
      </c>
      <c r="N37" s="9" t="str">
        <f t="shared" si="23"/>
        <v>Felix</v>
      </c>
      <c r="O37" s="9" t="str">
        <f t="shared" si="24"/>
        <v>Rodrigo Moro</v>
      </c>
      <c r="P37" s="9" t="str">
        <f t="shared" si="25"/>
        <v/>
      </c>
      <c r="Q37" s="9" t="str">
        <f t="shared" si="26"/>
        <v/>
      </c>
      <c r="R37" s="9" t="str">
        <f t="shared" si="27"/>
        <v>Felix</v>
      </c>
      <c r="S37" s="9" t="str">
        <f t="shared" si="28"/>
        <v>Rodrigo Moro</v>
      </c>
      <c r="T37" s="9">
        <f t="shared" si="29"/>
        <v>3</v>
      </c>
      <c r="U37" s="9" t="str">
        <f t="shared" si="30"/>
        <v>Felix</v>
      </c>
      <c r="V37" s="9">
        <f t="shared" si="31"/>
        <v>1</v>
      </c>
      <c r="W37" s="9">
        <f t="shared" si="32"/>
        <v>3</v>
      </c>
    </row>
    <row r="38" spans="1:23" x14ac:dyDescent="0.25">
      <c r="A38" s="8">
        <v>16</v>
      </c>
      <c r="B38" s="9" t="str">
        <f>VLOOKUP($A38, Equipes!$A$3:$B$30, 2, FALSE)</f>
        <v>Professor</v>
      </c>
      <c r="C38" s="18">
        <v>2</v>
      </c>
      <c r="D38" s="10" t="s">
        <v>21</v>
      </c>
      <c r="E38" s="18">
        <v>1</v>
      </c>
      <c r="F38" s="11" t="str">
        <f>VLOOKUP($G38, Equipes!$A$3:$B$30, 2, FALSE)</f>
        <v>Diogo</v>
      </c>
      <c r="G38" s="8">
        <v>17</v>
      </c>
      <c r="H38" s="9">
        <v>11</v>
      </c>
      <c r="I38" s="9" t="s">
        <v>24</v>
      </c>
      <c r="J38" s="9">
        <v>3</v>
      </c>
      <c r="M38" s="9" t="str">
        <f t="shared" si="22"/>
        <v>Professor</v>
      </c>
      <c r="N38" s="9" t="str">
        <f t="shared" si="23"/>
        <v>Diogo</v>
      </c>
      <c r="O38" s="9" t="str">
        <f t="shared" si="24"/>
        <v>Professor</v>
      </c>
      <c r="P38" s="9" t="str">
        <f t="shared" si="25"/>
        <v/>
      </c>
      <c r="Q38" s="9" t="str">
        <f t="shared" si="26"/>
        <v/>
      </c>
      <c r="R38" s="9" t="str">
        <f t="shared" si="27"/>
        <v>Diogo</v>
      </c>
      <c r="S38" s="9" t="str">
        <f t="shared" si="28"/>
        <v>Professor</v>
      </c>
      <c r="T38" s="9">
        <f t="shared" si="29"/>
        <v>2</v>
      </c>
      <c r="U38" s="9" t="str">
        <f t="shared" si="30"/>
        <v>Diogo</v>
      </c>
      <c r="V38" s="9">
        <f t="shared" si="31"/>
        <v>1</v>
      </c>
      <c r="W38" s="9">
        <f t="shared" si="32"/>
        <v>2</v>
      </c>
    </row>
    <row r="39" spans="1:23" x14ac:dyDescent="0.25">
      <c r="A39" s="8">
        <v>22</v>
      </c>
      <c r="B39" s="19" t="str">
        <f>VLOOKUP($A39, Equipes!$A$3:$B$30, 2, FALSE)</f>
        <v>Galdeano</v>
      </c>
      <c r="C39" s="18">
        <v>4</v>
      </c>
      <c r="D39" s="20" t="s">
        <v>21</v>
      </c>
      <c r="E39" s="18">
        <v>1</v>
      </c>
      <c r="F39" s="21" t="str">
        <f>VLOOKUP($G39, Equipes!$A$3:$B$30, 2, FALSE)</f>
        <v>Zé Luiz</v>
      </c>
      <c r="G39" s="22">
        <v>28</v>
      </c>
      <c r="H39" s="19">
        <v>2</v>
      </c>
      <c r="I39" s="19" t="s">
        <v>16</v>
      </c>
      <c r="J39" s="19">
        <v>3</v>
      </c>
      <c r="K39" s="19"/>
      <c r="M39" s="9" t="str">
        <f t="shared" si="22"/>
        <v>Galdeano</v>
      </c>
      <c r="N39" s="9" t="str">
        <f t="shared" si="23"/>
        <v>Zé Luiz</v>
      </c>
      <c r="O39" s="9" t="str">
        <f t="shared" si="24"/>
        <v>Galdeano</v>
      </c>
      <c r="P39" s="9" t="str">
        <f t="shared" si="25"/>
        <v/>
      </c>
      <c r="Q39" s="9" t="str">
        <f t="shared" si="26"/>
        <v/>
      </c>
      <c r="R39" s="9" t="str">
        <f t="shared" si="27"/>
        <v>Zé Luiz</v>
      </c>
      <c r="S39" s="9" t="str">
        <f t="shared" si="28"/>
        <v>Galdeano</v>
      </c>
      <c r="T39" s="9">
        <f t="shared" si="29"/>
        <v>4</v>
      </c>
      <c r="U39" s="9" t="str">
        <f t="shared" si="30"/>
        <v>Zé Luiz</v>
      </c>
      <c r="V39" s="9">
        <f t="shared" si="31"/>
        <v>1</v>
      </c>
      <c r="W39" s="9">
        <f t="shared" si="32"/>
        <v>4</v>
      </c>
    </row>
    <row r="40" spans="1:23" x14ac:dyDescent="0.25">
      <c r="A40" s="8">
        <v>26</v>
      </c>
      <c r="B40" s="9" t="str">
        <f>VLOOKUP($A40, Equipes!$A$3:$B$30, 2, FALSE)</f>
        <v>Coelho</v>
      </c>
      <c r="C40" s="18">
        <v>0</v>
      </c>
      <c r="D40" s="10" t="s">
        <v>21</v>
      </c>
      <c r="E40" s="18">
        <v>1</v>
      </c>
      <c r="F40" s="11" t="str">
        <f>VLOOKUP($G40, Equipes!$A$3:$B$30, 2, FALSE)</f>
        <v>Rafael Balieiro</v>
      </c>
      <c r="G40" s="8">
        <v>25</v>
      </c>
      <c r="H40" s="9">
        <v>10</v>
      </c>
      <c r="I40" s="9" t="s">
        <v>16</v>
      </c>
      <c r="J40" s="9">
        <v>3</v>
      </c>
      <c r="M40" s="9" t="str">
        <f t="shared" si="22"/>
        <v>Coelho</v>
      </c>
      <c r="N40" s="9" t="str">
        <f t="shared" si="23"/>
        <v>Rafael Balieiro</v>
      </c>
      <c r="O40" s="9" t="str">
        <f t="shared" si="24"/>
        <v>Rafael Balieiro</v>
      </c>
      <c r="P40" s="9" t="str">
        <f t="shared" si="25"/>
        <v/>
      </c>
      <c r="Q40" s="9" t="str">
        <f t="shared" si="26"/>
        <v/>
      </c>
      <c r="R40" s="9" t="str">
        <f t="shared" si="27"/>
        <v>Coelho</v>
      </c>
      <c r="S40" s="9" t="str">
        <f t="shared" si="28"/>
        <v>Coelho</v>
      </c>
      <c r="T40" s="9">
        <f t="shared" si="29"/>
        <v>0</v>
      </c>
      <c r="U40" s="9" t="str">
        <f t="shared" si="30"/>
        <v>Rafael Balieiro</v>
      </c>
      <c r="V40" s="9">
        <f t="shared" si="31"/>
        <v>1</v>
      </c>
      <c r="W40" s="9">
        <f t="shared" si="32"/>
        <v>0</v>
      </c>
    </row>
    <row r="41" spans="1:23" x14ac:dyDescent="0.25">
      <c r="A41" s="8">
        <v>23</v>
      </c>
      <c r="B41" s="19" t="str">
        <f>VLOOKUP($A41, Equipes!$A$3:$B$30, 2, FALSE)</f>
        <v>Luiz Moreira</v>
      </c>
      <c r="C41" s="18">
        <v>0</v>
      </c>
      <c r="D41" s="20" t="s">
        <v>21</v>
      </c>
      <c r="E41" s="18">
        <v>4</v>
      </c>
      <c r="F41" s="21" t="str">
        <f>VLOOKUP($G41, Equipes!$A$3:$B$30, 2, FALSE)</f>
        <v>Tabajara</v>
      </c>
      <c r="G41" s="22">
        <v>24</v>
      </c>
      <c r="H41" s="19">
        <v>14</v>
      </c>
      <c r="I41" s="19" t="s">
        <v>16</v>
      </c>
      <c r="J41" s="19">
        <v>3</v>
      </c>
      <c r="K41" s="19"/>
      <c r="M41" s="9" t="str">
        <f t="shared" si="22"/>
        <v>Luiz Moreira</v>
      </c>
      <c r="N41" s="9" t="str">
        <f t="shared" si="23"/>
        <v>Tabajara</v>
      </c>
      <c r="O41" s="9" t="str">
        <f t="shared" si="24"/>
        <v>Tabajara</v>
      </c>
      <c r="P41" s="9" t="str">
        <f t="shared" si="25"/>
        <v/>
      </c>
      <c r="Q41" s="9" t="str">
        <f t="shared" si="26"/>
        <v/>
      </c>
      <c r="R41" s="9" t="str">
        <f t="shared" si="27"/>
        <v>Luiz Moreira</v>
      </c>
      <c r="S41" s="9" t="str">
        <f t="shared" si="28"/>
        <v>Luiz Moreira</v>
      </c>
      <c r="T41" s="9">
        <f t="shared" si="29"/>
        <v>0</v>
      </c>
      <c r="U41" s="9" t="str">
        <f t="shared" si="30"/>
        <v>Tabajara</v>
      </c>
      <c r="V41" s="9">
        <f t="shared" si="31"/>
        <v>4</v>
      </c>
      <c r="W41" s="9">
        <f t="shared" si="32"/>
        <v>0</v>
      </c>
    </row>
    <row r="42" spans="1:23" x14ac:dyDescent="0.25">
      <c r="B42" s="13" t="s">
        <v>27</v>
      </c>
      <c r="C42" s="14"/>
      <c r="D42" s="14"/>
      <c r="E42" s="14"/>
      <c r="F42" s="15"/>
      <c r="G42" s="16"/>
      <c r="H42" s="13" t="s">
        <v>10</v>
      </c>
      <c r="I42" s="13" t="s">
        <v>11</v>
      </c>
      <c r="J42" s="13" t="s">
        <v>12</v>
      </c>
      <c r="K42" s="17">
        <f>K3 + TIME(0,60,0)</f>
        <v>45018.625</v>
      </c>
      <c r="M42" s="12" t="s">
        <v>13</v>
      </c>
      <c r="N42" s="12" t="s">
        <v>13</v>
      </c>
      <c r="O42" s="12" t="s">
        <v>14</v>
      </c>
      <c r="P42" s="12" t="s">
        <v>15</v>
      </c>
      <c r="Q42" s="12" t="s">
        <v>15</v>
      </c>
      <c r="R42" s="12" t="s">
        <v>16</v>
      </c>
      <c r="S42" s="12" t="s">
        <v>17</v>
      </c>
      <c r="T42" s="12" t="s">
        <v>18</v>
      </c>
      <c r="U42" s="12" t="s">
        <v>14</v>
      </c>
      <c r="V42" s="12" t="s">
        <v>19</v>
      </c>
      <c r="W42" s="12" t="s">
        <v>20</v>
      </c>
    </row>
    <row r="43" spans="1:23" x14ac:dyDescent="0.25">
      <c r="A43" s="8">
        <v>7</v>
      </c>
      <c r="B43" s="19" t="str">
        <f>VLOOKUP($A43, Equipes!$A$3:$B$30, 2, FALSE)</f>
        <v>Cortez</v>
      </c>
      <c r="C43" s="18">
        <v>2</v>
      </c>
      <c r="D43" s="20" t="s">
        <v>21</v>
      </c>
      <c r="E43" s="18">
        <v>2</v>
      </c>
      <c r="F43" s="21" t="str">
        <f>VLOOKUP($G43, Equipes!$A$3:$B$30, 2, FALSE)</f>
        <v>Afonso</v>
      </c>
      <c r="G43" s="22">
        <v>4</v>
      </c>
      <c r="H43" s="19">
        <v>11</v>
      </c>
      <c r="I43" s="19" t="s">
        <v>22</v>
      </c>
      <c r="J43" s="19">
        <v>4</v>
      </c>
      <c r="K43" s="19"/>
      <c r="M43" s="9" t="str">
        <f t="shared" ref="M43:M54" si="33">IF(OR(C43 = "",E43 = ""), "", B43)</f>
        <v>Cortez</v>
      </c>
      <c r="N43" s="9" t="str">
        <f t="shared" ref="N43:N54" si="34">IF(OR(C43 = "",E43 = ""), "", F43)</f>
        <v>Afonso</v>
      </c>
      <c r="O43" s="9" t="str">
        <f t="shared" ref="O43:O54" si="35">IF(C43&gt;E43,B43, IF(E43&gt;C43,F43, ""))</f>
        <v/>
      </c>
      <c r="P43" s="9" t="str">
        <f t="shared" ref="P43:P54" si="36">IF(OR(C43 = "",E43 = ""), "", IF(C43=E43,B43, ""))</f>
        <v>Cortez</v>
      </c>
      <c r="Q43" s="9" t="str">
        <f t="shared" ref="Q43:Q54" si="37">IF(OR(C43 = "",E43 = ""), "", IF(C43=E43,F43, ""))</f>
        <v>Afonso</v>
      </c>
      <c r="R43" s="9" t="str">
        <f t="shared" ref="R43:R54" si="38">IF(C43&gt;E43,F43, IF(E43&gt;C43,B43, ""))</f>
        <v/>
      </c>
      <c r="S43" s="9" t="str">
        <f t="shared" ref="S43:S54" si="39">IF(OR(C43 = "",E43 = ""), "", B43)</f>
        <v>Cortez</v>
      </c>
      <c r="T43" s="9">
        <f t="shared" ref="T43:T54" si="40">IF(C43 = "", "", C43)</f>
        <v>2</v>
      </c>
      <c r="U43" s="9" t="str">
        <f t="shared" ref="U43:U54" si="41">IF(OR(C43 = "",E43 = ""), "", F43)</f>
        <v>Afonso</v>
      </c>
      <c r="V43" s="9">
        <f t="shared" ref="V43:V54" si="42">IF(E43 = "", "", E43)</f>
        <v>2</v>
      </c>
      <c r="W43" s="9">
        <f t="shared" ref="W43:W54" si="43">IF(C43 = "", "", C43)</f>
        <v>2</v>
      </c>
    </row>
    <row r="44" spans="1:23" x14ac:dyDescent="0.25">
      <c r="A44" s="8">
        <v>6</v>
      </c>
      <c r="B44" s="9" t="str">
        <f>VLOOKUP($A44, Equipes!$A$3:$B$30, 2, FALSE)</f>
        <v>Pepe</v>
      </c>
      <c r="C44" s="18">
        <v>0</v>
      </c>
      <c r="D44" s="10" t="s">
        <v>21</v>
      </c>
      <c r="E44" s="18">
        <v>0</v>
      </c>
      <c r="F44" s="11" t="str">
        <f>VLOOKUP($G44, Equipes!$A$3:$B$30, 2, FALSE)</f>
        <v>Luiz Coelho</v>
      </c>
      <c r="G44" s="8">
        <v>3</v>
      </c>
      <c r="H44" s="9">
        <v>12</v>
      </c>
      <c r="I44" s="9" t="s">
        <v>22</v>
      </c>
      <c r="J44" s="9">
        <v>4</v>
      </c>
      <c r="M44" s="9" t="str">
        <f t="shared" si="33"/>
        <v>Pepe</v>
      </c>
      <c r="N44" s="9" t="str">
        <f t="shared" si="34"/>
        <v>Luiz Coelho</v>
      </c>
      <c r="O44" s="9" t="str">
        <f t="shared" si="35"/>
        <v/>
      </c>
      <c r="P44" s="9" t="str">
        <f t="shared" si="36"/>
        <v>Pepe</v>
      </c>
      <c r="Q44" s="9" t="str">
        <f t="shared" si="37"/>
        <v>Luiz Coelho</v>
      </c>
      <c r="R44" s="9" t="str">
        <f t="shared" si="38"/>
        <v/>
      </c>
      <c r="S44" s="9" t="str">
        <f t="shared" si="39"/>
        <v>Pepe</v>
      </c>
      <c r="T44" s="9">
        <f t="shared" si="40"/>
        <v>0</v>
      </c>
      <c r="U44" s="9" t="str">
        <f t="shared" si="41"/>
        <v>Luiz Coelho</v>
      </c>
      <c r="V44" s="9">
        <f t="shared" si="42"/>
        <v>0</v>
      </c>
      <c r="W44" s="9">
        <f t="shared" si="43"/>
        <v>0</v>
      </c>
    </row>
    <row r="45" spans="1:23" x14ac:dyDescent="0.25">
      <c r="A45" s="8">
        <v>5</v>
      </c>
      <c r="B45" s="19" t="str">
        <f>VLOOKUP($A45, Equipes!$A$3:$B$30, 2, FALSE)</f>
        <v>Sergio Barreira</v>
      </c>
      <c r="C45" s="18">
        <v>2</v>
      </c>
      <c r="D45" s="20" t="s">
        <v>21</v>
      </c>
      <c r="E45" s="18">
        <v>2</v>
      </c>
      <c r="F45" s="21" t="str">
        <f>VLOOKUP($G45, Equipes!$A$3:$B$30, 2, FALSE)</f>
        <v>DJ Iury</v>
      </c>
      <c r="G45" s="22">
        <v>2</v>
      </c>
      <c r="H45" s="19">
        <v>6</v>
      </c>
      <c r="I45" s="19" t="s">
        <v>22</v>
      </c>
      <c r="J45" s="19">
        <v>4</v>
      </c>
      <c r="K45" s="19"/>
      <c r="M45" s="9" t="str">
        <f t="shared" si="33"/>
        <v>Sergio Barreira</v>
      </c>
      <c r="N45" s="9" t="str">
        <f t="shared" si="34"/>
        <v>DJ Iury</v>
      </c>
      <c r="O45" s="9" t="str">
        <f t="shared" si="35"/>
        <v/>
      </c>
      <c r="P45" s="9" t="str">
        <f t="shared" si="36"/>
        <v>Sergio Barreira</v>
      </c>
      <c r="Q45" s="9" t="str">
        <f t="shared" si="37"/>
        <v>DJ Iury</v>
      </c>
      <c r="R45" s="9" t="str">
        <f t="shared" si="38"/>
        <v/>
      </c>
      <c r="S45" s="9" t="str">
        <f t="shared" si="39"/>
        <v>Sergio Barreira</v>
      </c>
      <c r="T45" s="9">
        <f t="shared" si="40"/>
        <v>2</v>
      </c>
      <c r="U45" s="9" t="str">
        <f t="shared" si="41"/>
        <v>DJ Iury</v>
      </c>
      <c r="V45" s="9">
        <f t="shared" si="42"/>
        <v>2</v>
      </c>
      <c r="W45" s="9">
        <f t="shared" si="43"/>
        <v>2</v>
      </c>
    </row>
    <row r="46" spans="1:23" x14ac:dyDescent="0.25">
      <c r="A46" s="8">
        <v>14</v>
      </c>
      <c r="B46" s="9" t="str">
        <f>VLOOKUP($A46, Equipes!$A$3:$B$30, 2, FALSE)</f>
        <v>Elsio</v>
      </c>
      <c r="C46" s="18">
        <v>2</v>
      </c>
      <c r="D46" s="10" t="s">
        <v>21</v>
      </c>
      <c r="E46" s="18">
        <v>2</v>
      </c>
      <c r="F46" s="11" t="str">
        <f>VLOOKUP($G46, Equipes!$A$3:$B$30, 2, FALSE)</f>
        <v>Mario</v>
      </c>
      <c r="G46" s="8">
        <v>11</v>
      </c>
      <c r="H46" s="9">
        <v>8</v>
      </c>
      <c r="I46" s="9" t="s">
        <v>23</v>
      </c>
      <c r="J46" s="9">
        <v>4</v>
      </c>
      <c r="M46" s="9" t="str">
        <f t="shared" si="33"/>
        <v>Elsio</v>
      </c>
      <c r="N46" s="9" t="str">
        <f t="shared" si="34"/>
        <v>Mario</v>
      </c>
      <c r="O46" s="9" t="str">
        <f t="shared" si="35"/>
        <v/>
      </c>
      <c r="P46" s="9" t="str">
        <f t="shared" si="36"/>
        <v>Elsio</v>
      </c>
      <c r="Q46" s="9" t="str">
        <f t="shared" si="37"/>
        <v>Mario</v>
      </c>
      <c r="R46" s="9" t="str">
        <f t="shared" si="38"/>
        <v/>
      </c>
      <c r="S46" s="9" t="str">
        <f t="shared" si="39"/>
        <v>Elsio</v>
      </c>
      <c r="T46" s="9">
        <f t="shared" si="40"/>
        <v>2</v>
      </c>
      <c r="U46" s="9" t="str">
        <f t="shared" si="41"/>
        <v>Mario</v>
      </c>
      <c r="V46" s="9">
        <f t="shared" si="42"/>
        <v>2</v>
      </c>
      <c r="W46" s="9">
        <f t="shared" si="43"/>
        <v>2</v>
      </c>
    </row>
    <row r="47" spans="1:23" x14ac:dyDescent="0.25">
      <c r="A47" s="8">
        <v>13</v>
      </c>
      <c r="B47" s="19" t="str">
        <f>VLOOKUP($A47, Equipes!$A$3:$B$30, 2, FALSE)</f>
        <v>Léo Carioca</v>
      </c>
      <c r="C47" s="18">
        <v>1</v>
      </c>
      <c r="D47" s="20" t="s">
        <v>21</v>
      </c>
      <c r="E47" s="18">
        <v>2</v>
      </c>
      <c r="F47" s="21" t="str">
        <f>VLOOKUP($G47, Equipes!$A$3:$B$30, 2, FALSE)</f>
        <v>Ruas</v>
      </c>
      <c r="G47" s="22">
        <v>10</v>
      </c>
      <c r="H47" s="19">
        <v>7</v>
      </c>
      <c r="I47" s="19" t="s">
        <v>23</v>
      </c>
      <c r="J47" s="19">
        <v>4</v>
      </c>
      <c r="K47" s="19"/>
      <c r="M47" s="9" t="str">
        <f t="shared" si="33"/>
        <v>Léo Carioca</v>
      </c>
      <c r="N47" s="9" t="str">
        <f t="shared" si="34"/>
        <v>Ruas</v>
      </c>
      <c r="O47" s="9" t="str">
        <f t="shared" si="35"/>
        <v>Ruas</v>
      </c>
      <c r="P47" s="9" t="str">
        <f t="shared" si="36"/>
        <v/>
      </c>
      <c r="Q47" s="9" t="str">
        <f t="shared" si="37"/>
        <v/>
      </c>
      <c r="R47" s="9" t="str">
        <f t="shared" si="38"/>
        <v>Léo Carioca</v>
      </c>
      <c r="S47" s="9" t="str">
        <f t="shared" si="39"/>
        <v>Léo Carioca</v>
      </c>
      <c r="T47" s="9">
        <f t="shared" si="40"/>
        <v>1</v>
      </c>
      <c r="U47" s="9" t="str">
        <f t="shared" si="41"/>
        <v>Ruas</v>
      </c>
      <c r="V47" s="9">
        <f t="shared" si="42"/>
        <v>2</v>
      </c>
      <c r="W47" s="9">
        <f t="shared" si="43"/>
        <v>1</v>
      </c>
    </row>
    <row r="48" spans="1:23" x14ac:dyDescent="0.25">
      <c r="A48" s="8">
        <v>12</v>
      </c>
      <c r="B48" s="9" t="str">
        <f>VLOOKUP($A48, Equipes!$A$3:$B$30, 2, FALSE)</f>
        <v>Reginaldo</v>
      </c>
      <c r="C48" s="18">
        <v>0</v>
      </c>
      <c r="D48" s="10" t="s">
        <v>21</v>
      </c>
      <c r="E48" s="18">
        <v>1</v>
      </c>
      <c r="F48" s="11" t="str">
        <f>VLOOKUP($G48, Equipes!$A$3:$B$30, 2, FALSE)</f>
        <v>Tupinamba</v>
      </c>
      <c r="G48" s="8">
        <v>9</v>
      </c>
      <c r="H48" s="9">
        <v>1</v>
      </c>
      <c r="I48" s="9" t="s">
        <v>23</v>
      </c>
      <c r="J48" s="9">
        <v>4</v>
      </c>
      <c r="M48" s="9" t="str">
        <f t="shared" si="33"/>
        <v>Reginaldo</v>
      </c>
      <c r="N48" s="9" t="str">
        <f t="shared" si="34"/>
        <v>Tupinamba</v>
      </c>
      <c r="O48" s="9" t="str">
        <f t="shared" si="35"/>
        <v>Tupinamba</v>
      </c>
      <c r="P48" s="9" t="str">
        <f t="shared" si="36"/>
        <v/>
      </c>
      <c r="Q48" s="9" t="str">
        <f t="shared" si="37"/>
        <v/>
      </c>
      <c r="R48" s="9" t="str">
        <f t="shared" si="38"/>
        <v>Reginaldo</v>
      </c>
      <c r="S48" s="9" t="str">
        <f t="shared" si="39"/>
        <v>Reginaldo</v>
      </c>
      <c r="T48" s="9">
        <f t="shared" si="40"/>
        <v>0</v>
      </c>
      <c r="U48" s="9" t="str">
        <f t="shared" si="41"/>
        <v>Tupinamba</v>
      </c>
      <c r="V48" s="9">
        <f t="shared" si="42"/>
        <v>1</v>
      </c>
      <c r="W48" s="9">
        <f t="shared" si="43"/>
        <v>0</v>
      </c>
    </row>
    <row r="49" spans="1:23" x14ac:dyDescent="0.25">
      <c r="A49" s="8">
        <v>21</v>
      </c>
      <c r="B49" s="19" t="str">
        <f>VLOOKUP($A49, Equipes!$A$3:$B$30, 2, FALSE)</f>
        <v xml:space="preserve">Marcão </v>
      </c>
      <c r="C49" s="18">
        <v>3</v>
      </c>
      <c r="D49" s="20" t="s">
        <v>21</v>
      </c>
      <c r="E49" s="18">
        <v>1</v>
      </c>
      <c r="F49" s="21" t="str">
        <f>VLOOKUP($G49, Equipes!$A$3:$B$30, 2, FALSE)</f>
        <v>Felix</v>
      </c>
      <c r="G49" s="22">
        <v>18</v>
      </c>
      <c r="H49" s="19">
        <v>9</v>
      </c>
      <c r="I49" s="19" t="s">
        <v>24</v>
      </c>
      <c r="J49" s="19">
        <v>4</v>
      </c>
      <c r="K49" s="19"/>
      <c r="M49" s="9" t="str">
        <f t="shared" si="33"/>
        <v xml:space="preserve">Marcão </v>
      </c>
      <c r="N49" s="9" t="str">
        <f t="shared" si="34"/>
        <v>Felix</v>
      </c>
      <c r="O49" s="9" t="str">
        <f t="shared" si="35"/>
        <v xml:space="preserve">Marcão </v>
      </c>
      <c r="P49" s="9" t="str">
        <f t="shared" si="36"/>
        <v/>
      </c>
      <c r="Q49" s="9" t="str">
        <f t="shared" si="37"/>
        <v/>
      </c>
      <c r="R49" s="9" t="str">
        <f t="shared" si="38"/>
        <v>Felix</v>
      </c>
      <c r="S49" s="9" t="str">
        <f t="shared" si="39"/>
        <v xml:space="preserve">Marcão </v>
      </c>
      <c r="T49" s="9">
        <f t="shared" si="40"/>
        <v>3</v>
      </c>
      <c r="U49" s="9" t="str">
        <f t="shared" si="41"/>
        <v>Felix</v>
      </c>
      <c r="V49" s="9">
        <f t="shared" si="42"/>
        <v>1</v>
      </c>
      <c r="W49" s="9">
        <f t="shared" si="43"/>
        <v>3</v>
      </c>
    </row>
    <row r="50" spans="1:23" x14ac:dyDescent="0.25">
      <c r="A50" s="8">
        <v>20</v>
      </c>
      <c r="B50" s="9" t="str">
        <f>VLOOKUP($A50, Equipes!$A$3:$B$30, 2, FALSE)</f>
        <v>Erismar</v>
      </c>
      <c r="C50" s="18">
        <v>4</v>
      </c>
      <c r="D50" s="10" t="s">
        <v>21</v>
      </c>
      <c r="E50" s="18">
        <v>1</v>
      </c>
      <c r="F50" s="11" t="str">
        <f>VLOOKUP($G50, Equipes!$A$3:$B$30, 2, FALSE)</f>
        <v>Diogo</v>
      </c>
      <c r="G50" s="8">
        <v>17</v>
      </c>
      <c r="H50" s="9">
        <v>14</v>
      </c>
      <c r="I50" s="9" t="s">
        <v>24</v>
      </c>
      <c r="J50" s="9">
        <v>4</v>
      </c>
      <c r="M50" s="9" t="str">
        <f t="shared" si="33"/>
        <v>Erismar</v>
      </c>
      <c r="N50" s="9" t="str">
        <f t="shared" si="34"/>
        <v>Diogo</v>
      </c>
      <c r="O50" s="9" t="str">
        <f t="shared" si="35"/>
        <v>Erismar</v>
      </c>
      <c r="P50" s="9" t="str">
        <f t="shared" si="36"/>
        <v/>
      </c>
      <c r="Q50" s="9" t="str">
        <f t="shared" si="37"/>
        <v/>
      </c>
      <c r="R50" s="9" t="str">
        <f t="shared" si="38"/>
        <v>Diogo</v>
      </c>
      <c r="S50" s="9" t="str">
        <f t="shared" si="39"/>
        <v>Erismar</v>
      </c>
      <c r="T50" s="9">
        <f t="shared" si="40"/>
        <v>4</v>
      </c>
      <c r="U50" s="9" t="str">
        <f t="shared" si="41"/>
        <v>Diogo</v>
      </c>
      <c r="V50" s="9">
        <f t="shared" si="42"/>
        <v>1</v>
      </c>
      <c r="W50" s="9">
        <f t="shared" si="43"/>
        <v>4</v>
      </c>
    </row>
    <row r="51" spans="1:23" x14ac:dyDescent="0.25">
      <c r="A51" s="8">
        <v>19</v>
      </c>
      <c r="B51" s="19" t="str">
        <f>VLOOKUP($A51, Equipes!$A$3:$B$30, 2, FALSE)</f>
        <v>Rodrigo Moro</v>
      </c>
      <c r="C51" s="18">
        <v>2</v>
      </c>
      <c r="D51" s="20" t="s">
        <v>21</v>
      </c>
      <c r="E51" s="18">
        <v>0</v>
      </c>
      <c r="F51" s="21" t="str">
        <f>VLOOKUP($G51, Equipes!$A$3:$B$30, 2, FALSE)</f>
        <v>Professor</v>
      </c>
      <c r="G51" s="22">
        <v>16</v>
      </c>
      <c r="H51" s="19">
        <v>13</v>
      </c>
      <c r="I51" s="19" t="s">
        <v>24</v>
      </c>
      <c r="J51" s="19">
        <v>4</v>
      </c>
      <c r="K51" s="19"/>
      <c r="M51" s="9" t="str">
        <f t="shared" si="33"/>
        <v>Rodrigo Moro</v>
      </c>
      <c r="N51" s="9" t="str">
        <f t="shared" si="34"/>
        <v>Professor</v>
      </c>
      <c r="O51" s="9" t="str">
        <f t="shared" si="35"/>
        <v>Rodrigo Moro</v>
      </c>
      <c r="P51" s="9" t="str">
        <f t="shared" si="36"/>
        <v/>
      </c>
      <c r="Q51" s="9" t="str">
        <f t="shared" si="37"/>
        <v/>
      </c>
      <c r="R51" s="9" t="str">
        <f t="shared" si="38"/>
        <v>Professor</v>
      </c>
      <c r="S51" s="9" t="str">
        <f t="shared" si="39"/>
        <v>Rodrigo Moro</v>
      </c>
      <c r="T51" s="9">
        <f t="shared" si="40"/>
        <v>2</v>
      </c>
      <c r="U51" s="9" t="str">
        <f t="shared" si="41"/>
        <v>Professor</v>
      </c>
      <c r="V51" s="9">
        <f t="shared" si="42"/>
        <v>0</v>
      </c>
      <c r="W51" s="9">
        <f t="shared" si="43"/>
        <v>2</v>
      </c>
    </row>
    <row r="52" spans="1:23" x14ac:dyDescent="0.25">
      <c r="A52" s="8">
        <v>28</v>
      </c>
      <c r="B52" s="9" t="str">
        <f>VLOOKUP($A52, Equipes!$A$3:$B$30, 2, FALSE)</f>
        <v>Zé Luiz</v>
      </c>
      <c r="C52" s="18">
        <v>2</v>
      </c>
      <c r="D52" s="10" t="s">
        <v>21</v>
      </c>
      <c r="E52" s="18">
        <v>0</v>
      </c>
      <c r="F52" s="11" t="str">
        <f>VLOOKUP($G52, Equipes!$A$3:$B$30, 2, FALSE)</f>
        <v>Rafael Balieiro</v>
      </c>
      <c r="G52" s="8">
        <v>25</v>
      </c>
      <c r="H52" s="9">
        <v>3</v>
      </c>
      <c r="I52" s="9" t="s">
        <v>16</v>
      </c>
      <c r="J52" s="9">
        <v>4</v>
      </c>
      <c r="M52" s="9" t="str">
        <f t="shared" si="33"/>
        <v>Zé Luiz</v>
      </c>
      <c r="N52" s="9" t="str">
        <f t="shared" si="34"/>
        <v>Rafael Balieiro</v>
      </c>
      <c r="O52" s="9" t="str">
        <f t="shared" si="35"/>
        <v>Zé Luiz</v>
      </c>
      <c r="P52" s="9" t="str">
        <f t="shared" si="36"/>
        <v/>
      </c>
      <c r="Q52" s="9" t="str">
        <f t="shared" si="37"/>
        <v/>
      </c>
      <c r="R52" s="9" t="str">
        <f t="shared" si="38"/>
        <v>Rafael Balieiro</v>
      </c>
      <c r="S52" s="9" t="str">
        <f t="shared" si="39"/>
        <v>Zé Luiz</v>
      </c>
      <c r="T52" s="9">
        <f t="shared" si="40"/>
        <v>2</v>
      </c>
      <c r="U52" s="9" t="str">
        <f t="shared" si="41"/>
        <v>Rafael Balieiro</v>
      </c>
      <c r="V52" s="9">
        <f t="shared" si="42"/>
        <v>0</v>
      </c>
      <c r="W52" s="9">
        <f t="shared" si="43"/>
        <v>2</v>
      </c>
    </row>
    <row r="53" spans="1:23" x14ac:dyDescent="0.25">
      <c r="A53" s="8">
        <v>27</v>
      </c>
      <c r="B53" s="19" t="str">
        <f>VLOOKUP($A53, Equipes!$A$3:$B$30, 2, FALSE)</f>
        <v>Mario Mili</v>
      </c>
      <c r="C53" s="18">
        <v>0</v>
      </c>
      <c r="D53" s="20" t="s">
        <v>21</v>
      </c>
      <c r="E53" s="18">
        <v>2</v>
      </c>
      <c r="F53" s="21" t="str">
        <f>VLOOKUP($G53, Equipes!$A$3:$B$30, 2, FALSE)</f>
        <v>Tabajara</v>
      </c>
      <c r="G53" s="22">
        <v>24</v>
      </c>
      <c r="H53" s="19">
        <v>5</v>
      </c>
      <c r="I53" s="19" t="s">
        <v>16</v>
      </c>
      <c r="J53" s="19">
        <v>4</v>
      </c>
      <c r="K53" s="19"/>
      <c r="M53" s="9" t="str">
        <f t="shared" si="33"/>
        <v>Mario Mili</v>
      </c>
      <c r="N53" s="9" t="str">
        <f t="shared" si="34"/>
        <v>Tabajara</v>
      </c>
      <c r="O53" s="9" t="str">
        <f t="shared" si="35"/>
        <v>Tabajara</v>
      </c>
      <c r="P53" s="9" t="str">
        <f t="shared" si="36"/>
        <v/>
      </c>
      <c r="Q53" s="9" t="str">
        <f t="shared" si="37"/>
        <v/>
      </c>
      <c r="R53" s="9" t="str">
        <f t="shared" si="38"/>
        <v>Mario Mili</v>
      </c>
      <c r="S53" s="9" t="str">
        <f t="shared" si="39"/>
        <v>Mario Mili</v>
      </c>
      <c r="T53" s="9">
        <f t="shared" si="40"/>
        <v>0</v>
      </c>
      <c r="U53" s="9" t="str">
        <f t="shared" si="41"/>
        <v>Tabajara</v>
      </c>
      <c r="V53" s="9">
        <f t="shared" si="42"/>
        <v>2</v>
      </c>
      <c r="W53" s="9">
        <f t="shared" si="43"/>
        <v>0</v>
      </c>
    </row>
    <row r="54" spans="1:23" x14ac:dyDescent="0.25">
      <c r="A54" s="8">
        <v>26</v>
      </c>
      <c r="B54" s="9" t="str">
        <f>VLOOKUP($A54, Equipes!$A$3:$B$30, 2, FALSE)</f>
        <v>Coelho</v>
      </c>
      <c r="C54" s="18">
        <v>1</v>
      </c>
      <c r="D54" s="10" t="s">
        <v>21</v>
      </c>
      <c r="E54" s="18">
        <v>2</v>
      </c>
      <c r="F54" s="11" t="str">
        <f>VLOOKUP($G54, Equipes!$A$3:$B$30, 2, FALSE)</f>
        <v>Luiz Moreira</v>
      </c>
      <c r="G54" s="8">
        <v>23</v>
      </c>
      <c r="H54" s="9">
        <v>2</v>
      </c>
      <c r="I54" s="9" t="s">
        <v>16</v>
      </c>
      <c r="J54" s="9">
        <v>4</v>
      </c>
      <c r="M54" s="9" t="str">
        <f t="shared" si="33"/>
        <v>Coelho</v>
      </c>
      <c r="N54" s="9" t="str">
        <f t="shared" si="34"/>
        <v>Luiz Moreira</v>
      </c>
      <c r="O54" s="9" t="str">
        <f t="shared" si="35"/>
        <v>Luiz Moreira</v>
      </c>
      <c r="P54" s="9" t="str">
        <f t="shared" si="36"/>
        <v/>
      </c>
      <c r="Q54" s="9" t="str">
        <f t="shared" si="37"/>
        <v/>
      </c>
      <c r="R54" s="9" t="str">
        <f t="shared" si="38"/>
        <v>Coelho</v>
      </c>
      <c r="S54" s="9" t="str">
        <f t="shared" si="39"/>
        <v>Coelho</v>
      </c>
      <c r="T54" s="9">
        <f t="shared" si="40"/>
        <v>1</v>
      </c>
      <c r="U54" s="9" t="str">
        <f t="shared" si="41"/>
        <v>Luiz Moreira</v>
      </c>
      <c r="V54" s="9">
        <f t="shared" si="42"/>
        <v>2</v>
      </c>
      <c r="W54" s="9">
        <f t="shared" si="43"/>
        <v>1</v>
      </c>
    </row>
    <row r="55" spans="1:23" x14ac:dyDescent="0.25">
      <c r="B55" s="13" t="s">
        <v>28</v>
      </c>
      <c r="C55" s="14"/>
      <c r="D55" s="14"/>
      <c r="E55" s="14"/>
      <c r="F55" s="15"/>
      <c r="G55" s="16"/>
      <c r="H55" s="13" t="s">
        <v>10</v>
      </c>
      <c r="I55" s="13" t="s">
        <v>11</v>
      </c>
      <c r="J55" s="13" t="s">
        <v>12</v>
      </c>
      <c r="K55" s="17">
        <f>K3 + TIME(0,80,0)</f>
        <v>45018.638888888891</v>
      </c>
      <c r="M55" s="12" t="s">
        <v>13</v>
      </c>
      <c r="N55" s="12" t="s">
        <v>13</v>
      </c>
      <c r="O55" s="12" t="s">
        <v>14</v>
      </c>
      <c r="P55" s="12" t="s">
        <v>15</v>
      </c>
      <c r="Q55" s="12" t="s">
        <v>15</v>
      </c>
      <c r="R55" s="12" t="s">
        <v>16</v>
      </c>
      <c r="S55" s="12" t="s">
        <v>17</v>
      </c>
      <c r="T55" s="12" t="s">
        <v>18</v>
      </c>
      <c r="U55" s="12" t="s">
        <v>14</v>
      </c>
      <c r="V55" s="12" t="s">
        <v>19</v>
      </c>
      <c r="W55" s="12" t="s">
        <v>20</v>
      </c>
    </row>
    <row r="56" spans="1:23" x14ac:dyDescent="0.25">
      <c r="A56" s="8">
        <v>1</v>
      </c>
      <c r="B56" s="9" t="str">
        <f>VLOOKUP($A56, Equipes!$A$3:$B$30, 2, FALSE)</f>
        <v>Willow</v>
      </c>
      <c r="C56" s="18">
        <v>3</v>
      </c>
      <c r="D56" s="10" t="s">
        <v>21</v>
      </c>
      <c r="E56" s="18">
        <v>0</v>
      </c>
      <c r="F56" s="11" t="str">
        <f>VLOOKUP($G56, Equipes!$A$3:$B$30, 2, FALSE)</f>
        <v>Afonso</v>
      </c>
      <c r="G56" s="8">
        <v>4</v>
      </c>
      <c r="H56" s="9">
        <v>6</v>
      </c>
      <c r="I56" s="9" t="s">
        <v>22</v>
      </c>
      <c r="J56" s="9">
        <v>5</v>
      </c>
      <c r="M56" s="9" t="str">
        <f t="shared" ref="M56:M67" si="44">IF(OR(C56 = "",E56 = ""), "", B56)</f>
        <v>Willow</v>
      </c>
      <c r="N56" s="9" t="str">
        <f t="shared" ref="N56:N67" si="45">IF(OR(C56 = "",E56 = ""), "", F56)</f>
        <v>Afonso</v>
      </c>
      <c r="O56" s="9" t="str">
        <f t="shared" ref="O56:O67" si="46">IF(C56&gt;E56,B56, IF(E56&gt;C56,F56, ""))</f>
        <v>Willow</v>
      </c>
      <c r="P56" s="9" t="str">
        <f t="shared" ref="P56:P67" si="47">IF(OR(C56 = "",E56 = ""), "", IF(C56=E56,B56, ""))</f>
        <v/>
      </c>
      <c r="Q56" s="9" t="str">
        <f t="shared" ref="Q56:Q67" si="48">IF(OR(C56 = "",E56 = ""), "", IF(C56=E56,F56, ""))</f>
        <v/>
      </c>
      <c r="R56" s="9" t="str">
        <f t="shared" ref="R56:R67" si="49">IF(C56&gt;E56,F56, IF(E56&gt;C56,B56, ""))</f>
        <v>Afonso</v>
      </c>
      <c r="S56" s="9" t="str">
        <f t="shared" ref="S56:S67" si="50">IF(OR(C56 = "",E56 = ""), "", B56)</f>
        <v>Willow</v>
      </c>
      <c r="T56" s="9">
        <f t="shared" ref="T56:T67" si="51">IF(C56 = "", "", C56)</f>
        <v>3</v>
      </c>
      <c r="U56" s="9" t="str">
        <f t="shared" ref="U56:U67" si="52">IF(OR(C56 = "",E56 = ""), "", F56)</f>
        <v>Afonso</v>
      </c>
      <c r="V56" s="9">
        <f t="shared" ref="V56:V67" si="53">IF(E56 = "", "", E56)</f>
        <v>0</v>
      </c>
      <c r="W56" s="9">
        <f t="shared" ref="W56:W67" si="54">IF(C56 = "", "", C56)</f>
        <v>3</v>
      </c>
    </row>
    <row r="57" spans="1:23" x14ac:dyDescent="0.25">
      <c r="A57" s="8">
        <v>7</v>
      </c>
      <c r="B57" s="19" t="str">
        <f>VLOOKUP($A57, Equipes!$A$3:$B$30, 2, FALSE)</f>
        <v>Cortez</v>
      </c>
      <c r="C57" s="18">
        <v>0</v>
      </c>
      <c r="D57" s="20" t="s">
        <v>21</v>
      </c>
      <c r="E57" s="18">
        <v>1</v>
      </c>
      <c r="F57" s="21" t="str">
        <f>VLOOKUP($G57, Equipes!$A$3:$B$30, 2, FALSE)</f>
        <v>DJ Iury</v>
      </c>
      <c r="G57" s="22">
        <v>2</v>
      </c>
      <c r="H57" s="19">
        <v>10</v>
      </c>
      <c r="I57" s="19" t="s">
        <v>22</v>
      </c>
      <c r="J57" s="19">
        <v>5</v>
      </c>
      <c r="K57" s="19"/>
      <c r="M57" s="9" t="str">
        <f t="shared" si="44"/>
        <v>Cortez</v>
      </c>
      <c r="N57" s="9" t="str">
        <f t="shared" si="45"/>
        <v>DJ Iury</v>
      </c>
      <c r="O57" s="9" t="str">
        <f t="shared" si="46"/>
        <v>DJ Iury</v>
      </c>
      <c r="P57" s="9" t="str">
        <f t="shared" si="47"/>
        <v/>
      </c>
      <c r="Q57" s="9" t="str">
        <f t="shared" si="48"/>
        <v/>
      </c>
      <c r="R57" s="9" t="str">
        <f t="shared" si="49"/>
        <v>Cortez</v>
      </c>
      <c r="S57" s="9" t="str">
        <f t="shared" si="50"/>
        <v>Cortez</v>
      </c>
      <c r="T57" s="9">
        <f t="shared" si="51"/>
        <v>0</v>
      </c>
      <c r="U57" s="9" t="str">
        <f t="shared" si="52"/>
        <v>DJ Iury</v>
      </c>
      <c r="V57" s="9">
        <f t="shared" si="53"/>
        <v>1</v>
      </c>
      <c r="W57" s="9">
        <f t="shared" si="54"/>
        <v>0</v>
      </c>
    </row>
    <row r="58" spans="1:23" x14ac:dyDescent="0.25">
      <c r="A58" s="8">
        <v>6</v>
      </c>
      <c r="B58" s="9" t="str">
        <f>VLOOKUP($A58, Equipes!$A$3:$B$30, 2, FALSE)</f>
        <v>Pepe</v>
      </c>
      <c r="C58" s="18">
        <v>1</v>
      </c>
      <c r="D58" s="10" t="s">
        <v>21</v>
      </c>
      <c r="E58" s="18">
        <v>0</v>
      </c>
      <c r="F58" s="11" t="str">
        <f>VLOOKUP($G58, Equipes!$A$3:$B$30, 2, FALSE)</f>
        <v>Sergio Barreira</v>
      </c>
      <c r="G58" s="8">
        <v>5</v>
      </c>
      <c r="H58" s="9">
        <v>4</v>
      </c>
      <c r="I58" s="9" t="s">
        <v>22</v>
      </c>
      <c r="J58" s="9">
        <v>5</v>
      </c>
      <c r="M58" s="9" t="str">
        <f t="shared" si="44"/>
        <v>Pepe</v>
      </c>
      <c r="N58" s="9" t="str">
        <f t="shared" si="45"/>
        <v>Sergio Barreira</v>
      </c>
      <c r="O58" s="9" t="str">
        <f t="shared" si="46"/>
        <v>Pepe</v>
      </c>
      <c r="P58" s="9" t="str">
        <f t="shared" si="47"/>
        <v/>
      </c>
      <c r="Q58" s="9" t="str">
        <f t="shared" si="48"/>
        <v/>
      </c>
      <c r="R58" s="9" t="str">
        <f t="shared" si="49"/>
        <v>Sergio Barreira</v>
      </c>
      <c r="S58" s="9" t="str">
        <f t="shared" si="50"/>
        <v>Pepe</v>
      </c>
      <c r="T58" s="9">
        <f t="shared" si="51"/>
        <v>1</v>
      </c>
      <c r="U58" s="9" t="str">
        <f t="shared" si="52"/>
        <v>Sergio Barreira</v>
      </c>
      <c r="V58" s="9">
        <f t="shared" si="53"/>
        <v>0</v>
      </c>
      <c r="W58" s="9">
        <f t="shared" si="54"/>
        <v>1</v>
      </c>
    </row>
    <row r="59" spans="1:23" x14ac:dyDescent="0.25">
      <c r="A59" s="8">
        <v>8</v>
      </c>
      <c r="B59" s="19" t="str">
        <f>VLOOKUP($A59, Equipes!$A$3:$B$30, 2, FALSE)</f>
        <v>Teruel</v>
      </c>
      <c r="C59" s="18">
        <v>2</v>
      </c>
      <c r="D59" s="20" t="s">
        <v>21</v>
      </c>
      <c r="E59" s="18">
        <v>0</v>
      </c>
      <c r="F59" s="21" t="str">
        <f>VLOOKUP($G59, Equipes!$A$3:$B$30, 2, FALSE)</f>
        <v>Mario</v>
      </c>
      <c r="G59" s="22">
        <v>11</v>
      </c>
      <c r="H59" s="19">
        <v>5</v>
      </c>
      <c r="I59" s="19" t="s">
        <v>23</v>
      </c>
      <c r="J59" s="19">
        <v>5</v>
      </c>
      <c r="K59" s="19"/>
      <c r="M59" s="9" t="str">
        <f t="shared" si="44"/>
        <v>Teruel</v>
      </c>
      <c r="N59" s="9" t="str">
        <f t="shared" si="45"/>
        <v>Mario</v>
      </c>
      <c r="O59" s="9" t="str">
        <f t="shared" si="46"/>
        <v>Teruel</v>
      </c>
      <c r="P59" s="9" t="str">
        <f t="shared" si="47"/>
        <v/>
      </c>
      <c r="Q59" s="9" t="str">
        <f t="shared" si="48"/>
        <v/>
      </c>
      <c r="R59" s="9" t="str">
        <f t="shared" si="49"/>
        <v>Mario</v>
      </c>
      <c r="S59" s="9" t="str">
        <f t="shared" si="50"/>
        <v>Teruel</v>
      </c>
      <c r="T59" s="9">
        <f t="shared" si="51"/>
        <v>2</v>
      </c>
      <c r="U59" s="9" t="str">
        <f t="shared" si="52"/>
        <v>Mario</v>
      </c>
      <c r="V59" s="9">
        <f t="shared" si="53"/>
        <v>0</v>
      </c>
      <c r="W59" s="9">
        <f t="shared" si="54"/>
        <v>2</v>
      </c>
    </row>
    <row r="60" spans="1:23" x14ac:dyDescent="0.25">
      <c r="A60" s="8">
        <v>14</v>
      </c>
      <c r="B60" s="9" t="str">
        <f>VLOOKUP($A60, Equipes!$A$3:$B$30, 2, FALSE)</f>
        <v>Elsio</v>
      </c>
      <c r="C60" s="18">
        <v>1</v>
      </c>
      <c r="D60" s="10" t="s">
        <v>21</v>
      </c>
      <c r="E60" s="18">
        <v>1</v>
      </c>
      <c r="F60" s="11" t="str">
        <f>VLOOKUP($G60, Equipes!$A$3:$B$30, 2, FALSE)</f>
        <v>Tupinamba</v>
      </c>
      <c r="G60" s="8">
        <v>9</v>
      </c>
      <c r="H60" s="9">
        <v>7</v>
      </c>
      <c r="I60" s="9" t="s">
        <v>23</v>
      </c>
      <c r="J60" s="9">
        <v>5</v>
      </c>
      <c r="M60" s="9" t="str">
        <f t="shared" si="44"/>
        <v>Elsio</v>
      </c>
      <c r="N60" s="9" t="str">
        <f t="shared" si="45"/>
        <v>Tupinamba</v>
      </c>
      <c r="O60" s="9" t="str">
        <f t="shared" si="46"/>
        <v/>
      </c>
      <c r="P60" s="9" t="str">
        <f t="shared" si="47"/>
        <v>Elsio</v>
      </c>
      <c r="Q60" s="9" t="str">
        <f t="shared" si="48"/>
        <v>Tupinamba</v>
      </c>
      <c r="R60" s="9" t="str">
        <f t="shared" si="49"/>
        <v/>
      </c>
      <c r="S60" s="9" t="str">
        <f t="shared" si="50"/>
        <v>Elsio</v>
      </c>
      <c r="T60" s="9">
        <f t="shared" si="51"/>
        <v>1</v>
      </c>
      <c r="U60" s="9" t="str">
        <f t="shared" si="52"/>
        <v>Tupinamba</v>
      </c>
      <c r="V60" s="9">
        <f t="shared" si="53"/>
        <v>1</v>
      </c>
      <c r="W60" s="9">
        <f t="shared" si="54"/>
        <v>1</v>
      </c>
    </row>
    <row r="61" spans="1:23" x14ac:dyDescent="0.25">
      <c r="A61" s="8">
        <v>13</v>
      </c>
      <c r="B61" s="19" t="str">
        <f>VLOOKUP($A61, Equipes!$A$3:$B$30, 2, FALSE)</f>
        <v>Léo Carioca</v>
      </c>
      <c r="C61" s="18">
        <v>1</v>
      </c>
      <c r="D61" s="20" t="s">
        <v>21</v>
      </c>
      <c r="E61" s="18">
        <v>3</v>
      </c>
      <c r="F61" s="21" t="str">
        <f>VLOOKUP($G61, Equipes!$A$3:$B$30, 2, FALSE)</f>
        <v>Reginaldo</v>
      </c>
      <c r="G61" s="22">
        <v>12</v>
      </c>
      <c r="H61" s="19">
        <v>8</v>
      </c>
      <c r="I61" s="19" t="s">
        <v>23</v>
      </c>
      <c r="J61" s="19">
        <v>5</v>
      </c>
      <c r="K61" s="19"/>
      <c r="M61" s="9" t="str">
        <f t="shared" si="44"/>
        <v>Léo Carioca</v>
      </c>
      <c r="N61" s="9" t="str">
        <f t="shared" si="45"/>
        <v>Reginaldo</v>
      </c>
      <c r="O61" s="9" t="str">
        <f t="shared" si="46"/>
        <v>Reginaldo</v>
      </c>
      <c r="P61" s="9" t="str">
        <f t="shared" si="47"/>
        <v/>
      </c>
      <c r="Q61" s="9" t="str">
        <f t="shared" si="48"/>
        <v/>
      </c>
      <c r="R61" s="9" t="str">
        <f t="shared" si="49"/>
        <v>Léo Carioca</v>
      </c>
      <c r="S61" s="9" t="str">
        <f t="shared" si="50"/>
        <v>Léo Carioca</v>
      </c>
      <c r="T61" s="9">
        <f t="shared" si="51"/>
        <v>1</v>
      </c>
      <c r="U61" s="9" t="str">
        <f t="shared" si="52"/>
        <v>Reginaldo</v>
      </c>
      <c r="V61" s="9">
        <f t="shared" si="53"/>
        <v>3</v>
      </c>
      <c r="W61" s="9">
        <f t="shared" si="54"/>
        <v>1</v>
      </c>
    </row>
    <row r="62" spans="1:23" x14ac:dyDescent="0.25">
      <c r="A62" s="8">
        <v>15</v>
      </c>
      <c r="B62" s="9" t="str">
        <f>VLOOKUP($A62, Equipes!$A$3:$B$30, 2, FALSE)</f>
        <v>Vinicius Rolim</v>
      </c>
      <c r="C62" s="18">
        <v>1</v>
      </c>
      <c r="D62" s="10" t="s">
        <v>21</v>
      </c>
      <c r="E62" s="18">
        <v>0</v>
      </c>
      <c r="F62" s="11" t="str">
        <f>VLOOKUP($G62, Equipes!$A$3:$B$30, 2, FALSE)</f>
        <v>Felix</v>
      </c>
      <c r="G62" s="8">
        <v>18</v>
      </c>
      <c r="H62" s="9">
        <v>3</v>
      </c>
      <c r="I62" s="9" t="s">
        <v>24</v>
      </c>
      <c r="J62" s="9">
        <v>5</v>
      </c>
      <c r="M62" s="9" t="str">
        <f t="shared" si="44"/>
        <v>Vinicius Rolim</v>
      </c>
      <c r="N62" s="9" t="str">
        <f t="shared" si="45"/>
        <v>Felix</v>
      </c>
      <c r="O62" s="9" t="str">
        <f t="shared" si="46"/>
        <v>Vinicius Rolim</v>
      </c>
      <c r="P62" s="9" t="str">
        <f t="shared" si="47"/>
        <v/>
      </c>
      <c r="Q62" s="9" t="str">
        <f t="shared" si="48"/>
        <v/>
      </c>
      <c r="R62" s="9" t="str">
        <f t="shared" si="49"/>
        <v>Felix</v>
      </c>
      <c r="S62" s="9" t="str">
        <f t="shared" si="50"/>
        <v>Vinicius Rolim</v>
      </c>
      <c r="T62" s="9">
        <f t="shared" si="51"/>
        <v>1</v>
      </c>
      <c r="U62" s="9" t="str">
        <f t="shared" si="52"/>
        <v>Felix</v>
      </c>
      <c r="V62" s="9">
        <f t="shared" si="53"/>
        <v>0</v>
      </c>
      <c r="W62" s="9">
        <f t="shared" si="54"/>
        <v>1</v>
      </c>
    </row>
    <row r="63" spans="1:23" x14ac:dyDescent="0.25">
      <c r="A63" s="8">
        <v>21</v>
      </c>
      <c r="B63" s="19" t="str">
        <f>VLOOKUP($A63, Equipes!$A$3:$B$30, 2, FALSE)</f>
        <v xml:space="preserve">Marcão </v>
      </c>
      <c r="C63" s="18">
        <v>2</v>
      </c>
      <c r="D63" s="20" t="s">
        <v>21</v>
      </c>
      <c r="E63" s="18">
        <v>1</v>
      </c>
      <c r="F63" s="21" t="str">
        <f>VLOOKUP($G63, Equipes!$A$3:$B$30, 2, FALSE)</f>
        <v>Professor</v>
      </c>
      <c r="G63" s="22">
        <v>16</v>
      </c>
      <c r="H63" s="19">
        <v>12</v>
      </c>
      <c r="I63" s="19" t="s">
        <v>24</v>
      </c>
      <c r="J63" s="19">
        <v>5</v>
      </c>
      <c r="K63" s="19"/>
      <c r="M63" s="9" t="str">
        <f t="shared" si="44"/>
        <v xml:space="preserve">Marcão </v>
      </c>
      <c r="N63" s="9" t="str">
        <f t="shared" si="45"/>
        <v>Professor</v>
      </c>
      <c r="O63" s="9" t="str">
        <f t="shared" si="46"/>
        <v xml:space="preserve">Marcão </v>
      </c>
      <c r="P63" s="9" t="str">
        <f t="shared" si="47"/>
        <v/>
      </c>
      <c r="Q63" s="9" t="str">
        <f t="shared" si="48"/>
        <v/>
      </c>
      <c r="R63" s="9" t="str">
        <f t="shared" si="49"/>
        <v>Professor</v>
      </c>
      <c r="S63" s="9" t="str">
        <f t="shared" si="50"/>
        <v xml:space="preserve">Marcão </v>
      </c>
      <c r="T63" s="9">
        <f t="shared" si="51"/>
        <v>2</v>
      </c>
      <c r="U63" s="9" t="str">
        <f t="shared" si="52"/>
        <v>Professor</v>
      </c>
      <c r="V63" s="9">
        <f t="shared" si="53"/>
        <v>1</v>
      </c>
      <c r="W63" s="9">
        <f t="shared" si="54"/>
        <v>2</v>
      </c>
    </row>
    <row r="64" spans="1:23" x14ac:dyDescent="0.25">
      <c r="A64" s="8">
        <v>20</v>
      </c>
      <c r="B64" s="9" t="str">
        <f>VLOOKUP($A64, Equipes!$A$3:$B$30, 2, FALSE)</f>
        <v>Erismar</v>
      </c>
      <c r="C64" s="18">
        <v>0</v>
      </c>
      <c r="D64" s="10" t="s">
        <v>21</v>
      </c>
      <c r="E64" s="18">
        <v>3</v>
      </c>
      <c r="F64" s="11" t="str">
        <f>VLOOKUP($G64, Equipes!$A$3:$B$30, 2, FALSE)</f>
        <v>Rodrigo Moro</v>
      </c>
      <c r="G64" s="8">
        <v>19</v>
      </c>
      <c r="H64" s="9">
        <v>2</v>
      </c>
      <c r="I64" s="9" t="s">
        <v>24</v>
      </c>
      <c r="J64" s="9">
        <v>5</v>
      </c>
      <c r="M64" s="9" t="str">
        <f t="shared" si="44"/>
        <v>Erismar</v>
      </c>
      <c r="N64" s="9" t="str">
        <f t="shared" si="45"/>
        <v>Rodrigo Moro</v>
      </c>
      <c r="O64" s="9" t="str">
        <f t="shared" si="46"/>
        <v>Rodrigo Moro</v>
      </c>
      <c r="P64" s="9" t="str">
        <f t="shared" si="47"/>
        <v/>
      </c>
      <c r="Q64" s="9" t="str">
        <f t="shared" si="48"/>
        <v/>
      </c>
      <c r="R64" s="9" t="str">
        <f t="shared" si="49"/>
        <v>Erismar</v>
      </c>
      <c r="S64" s="9" t="str">
        <f t="shared" si="50"/>
        <v>Erismar</v>
      </c>
      <c r="T64" s="9">
        <f t="shared" si="51"/>
        <v>0</v>
      </c>
      <c r="U64" s="9" t="str">
        <f t="shared" si="52"/>
        <v>Rodrigo Moro</v>
      </c>
      <c r="V64" s="9">
        <f t="shared" si="53"/>
        <v>3</v>
      </c>
      <c r="W64" s="9">
        <f t="shared" si="54"/>
        <v>0</v>
      </c>
    </row>
    <row r="65" spans="1:23" x14ac:dyDescent="0.25">
      <c r="A65" s="8">
        <v>22</v>
      </c>
      <c r="B65" s="19" t="str">
        <f>VLOOKUP($A65, Equipes!$A$3:$B$30, 2, FALSE)</f>
        <v>Galdeano</v>
      </c>
      <c r="C65" s="18">
        <v>2</v>
      </c>
      <c r="D65" s="20" t="s">
        <v>21</v>
      </c>
      <c r="E65" s="18">
        <v>3</v>
      </c>
      <c r="F65" s="21" t="str">
        <f>VLOOKUP($G65, Equipes!$A$3:$B$30, 2, FALSE)</f>
        <v>Rafael Balieiro</v>
      </c>
      <c r="G65" s="22">
        <v>25</v>
      </c>
      <c r="H65" s="19">
        <v>1</v>
      </c>
      <c r="I65" s="19" t="s">
        <v>16</v>
      </c>
      <c r="J65" s="19">
        <v>5</v>
      </c>
      <c r="K65" s="19"/>
      <c r="M65" s="9" t="str">
        <f t="shared" si="44"/>
        <v>Galdeano</v>
      </c>
      <c r="N65" s="9" t="str">
        <f t="shared" si="45"/>
        <v>Rafael Balieiro</v>
      </c>
      <c r="O65" s="9" t="str">
        <f t="shared" si="46"/>
        <v>Rafael Balieiro</v>
      </c>
      <c r="P65" s="9" t="str">
        <f t="shared" si="47"/>
        <v/>
      </c>
      <c r="Q65" s="9" t="str">
        <f t="shared" si="48"/>
        <v/>
      </c>
      <c r="R65" s="9" t="str">
        <f t="shared" si="49"/>
        <v>Galdeano</v>
      </c>
      <c r="S65" s="9" t="str">
        <f t="shared" si="50"/>
        <v>Galdeano</v>
      </c>
      <c r="T65" s="9">
        <f t="shared" si="51"/>
        <v>2</v>
      </c>
      <c r="U65" s="9" t="str">
        <f t="shared" si="52"/>
        <v>Rafael Balieiro</v>
      </c>
      <c r="V65" s="9">
        <f t="shared" si="53"/>
        <v>3</v>
      </c>
      <c r="W65" s="9">
        <f t="shared" si="54"/>
        <v>2</v>
      </c>
    </row>
    <row r="66" spans="1:23" x14ac:dyDescent="0.25">
      <c r="A66" s="8">
        <v>28</v>
      </c>
      <c r="B66" s="9" t="str">
        <f>VLOOKUP($A66, Equipes!$A$3:$B$30, 2, FALSE)</f>
        <v>Zé Luiz</v>
      </c>
      <c r="C66" s="18">
        <v>0</v>
      </c>
      <c r="D66" s="10" t="s">
        <v>21</v>
      </c>
      <c r="E66" s="18">
        <v>1</v>
      </c>
      <c r="F66" s="11" t="str">
        <f>VLOOKUP($G66, Equipes!$A$3:$B$30, 2, FALSE)</f>
        <v>Luiz Moreira</v>
      </c>
      <c r="G66" s="8">
        <v>23</v>
      </c>
      <c r="H66" s="9">
        <v>9</v>
      </c>
      <c r="I66" s="9" t="s">
        <v>16</v>
      </c>
      <c r="J66" s="9">
        <v>5</v>
      </c>
      <c r="M66" s="9" t="str">
        <f t="shared" si="44"/>
        <v>Zé Luiz</v>
      </c>
      <c r="N66" s="9" t="str">
        <f t="shared" si="45"/>
        <v>Luiz Moreira</v>
      </c>
      <c r="O66" s="9" t="str">
        <f t="shared" si="46"/>
        <v>Luiz Moreira</v>
      </c>
      <c r="P66" s="9" t="str">
        <f t="shared" si="47"/>
        <v/>
      </c>
      <c r="Q66" s="9" t="str">
        <f t="shared" si="48"/>
        <v/>
      </c>
      <c r="R66" s="9" t="str">
        <f t="shared" si="49"/>
        <v>Zé Luiz</v>
      </c>
      <c r="S66" s="9" t="str">
        <f t="shared" si="50"/>
        <v>Zé Luiz</v>
      </c>
      <c r="T66" s="9">
        <f t="shared" si="51"/>
        <v>0</v>
      </c>
      <c r="U66" s="9" t="str">
        <f t="shared" si="52"/>
        <v>Luiz Moreira</v>
      </c>
      <c r="V66" s="9">
        <f t="shared" si="53"/>
        <v>1</v>
      </c>
      <c r="W66" s="9">
        <f t="shared" si="54"/>
        <v>0</v>
      </c>
    </row>
    <row r="67" spans="1:23" x14ac:dyDescent="0.25">
      <c r="A67" s="8">
        <v>27</v>
      </c>
      <c r="B67" s="19" t="str">
        <f>VLOOKUP($A67, Equipes!$A$3:$B$30, 2, FALSE)</f>
        <v>Mario Mili</v>
      </c>
      <c r="C67" s="18">
        <v>3</v>
      </c>
      <c r="D67" s="20" t="s">
        <v>21</v>
      </c>
      <c r="E67" s="18">
        <v>0</v>
      </c>
      <c r="F67" s="21" t="str">
        <f>VLOOKUP($G67, Equipes!$A$3:$B$30, 2, FALSE)</f>
        <v>Coelho</v>
      </c>
      <c r="G67" s="22">
        <v>26</v>
      </c>
      <c r="H67" s="19">
        <v>13</v>
      </c>
      <c r="I67" s="19" t="s">
        <v>16</v>
      </c>
      <c r="J67" s="19">
        <v>5</v>
      </c>
      <c r="K67" s="19"/>
      <c r="M67" s="9" t="str">
        <f t="shared" si="44"/>
        <v>Mario Mili</v>
      </c>
      <c r="N67" s="9" t="str">
        <f t="shared" si="45"/>
        <v>Coelho</v>
      </c>
      <c r="O67" s="9" t="str">
        <f t="shared" si="46"/>
        <v>Mario Mili</v>
      </c>
      <c r="P67" s="9" t="str">
        <f t="shared" si="47"/>
        <v/>
      </c>
      <c r="Q67" s="9" t="str">
        <f t="shared" si="48"/>
        <v/>
      </c>
      <c r="R67" s="9" t="str">
        <f t="shared" si="49"/>
        <v>Coelho</v>
      </c>
      <c r="S67" s="9" t="str">
        <f t="shared" si="50"/>
        <v>Mario Mili</v>
      </c>
      <c r="T67" s="9">
        <f t="shared" si="51"/>
        <v>3</v>
      </c>
      <c r="U67" s="9" t="str">
        <f t="shared" si="52"/>
        <v>Coelho</v>
      </c>
      <c r="V67" s="9">
        <f t="shared" si="53"/>
        <v>0</v>
      </c>
      <c r="W67" s="9">
        <f t="shared" si="54"/>
        <v>3</v>
      </c>
    </row>
    <row r="68" spans="1:23" x14ac:dyDescent="0.25">
      <c r="B68" s="13" t="s">
        <v>29</v>
      </c>
      <c r="C68" s="14"/>
      <c r="D68" s="14"/>
      <c r="E68" s="14"/>
      <c r="F68" s="15"/>
      <c r="G68" s="16"/>
      <c r="H68" s="13" t="s">
        <v>10</v>
      </c>
      <c r="I68" s="13" t="s">
        <v>11</v>
      </c>
      <c r="J68" s="13" t="s">
        <v>12</v>
      </c>
      <c r="K68" s="17">
        <f>K3 + TIME(0,100,0)</f>
        <v>45018.652777777781</v>
      </c>
      <c r="M68" s="12" t="s">
        <v>13</v>
      </c>
      <c r="N68" s="12" t="s">
        <v>13</v>
      </c>
      <c r="O68" s="12" t="s">
        <v>14</v>
      </c>
      <c r="P68" s="12" t="s">
        <v>15</v>
      </c>
      <c r="Q68" s="12" t="s">
        <v>15</v>
      </c>
      <c r="R68" s="12" t="s">
        <v>16</v>
      </c>
      <c r="S68" s="12" t="s">
        <v>17</v>
      </c>
      <c r="T68" s="12" t="s">
        <v>18</v>
      </c>
      <c r="U68" s="12" t="s">
        <v>14</v>
      </c>
      <c r="V68" s="12" t="s">
        <v>19</v>
      </c>
      <c r="W68" s="12" t="s">
        <v>20</v>
      </c>
    </row>
    <row r="69" spans="1:23" x14ac:dyDescent="0.25">
      <c r="A69" s="8">
        <v>1</v>
      </c>
      <c r="B69" s="19" t="str">
        <f>VLOOKUP($A69, Equipes!$A$3:$B$30, 2, FALSE)</f>
        <v>Willow</v>
      </c>
      <c r="C69" s="18">
        <v>2</v>
      </c>
      <c r="D69" s="20" t="s">
        <v>21</v>
      </c>
      <c r="E69" s="18">
        <v>0</v>
      </c>
      <c r="F69" s="21" t="str">
        <f>VLOOKUP($G69, Equipes!$A$3:$B$30, 2, FALSE)</f>
        <v>Luiz Coelho</v>
      </c>
      <c r="G69" s="22">
        <v>3</v>
      </c>
      <c r="H69" s="19">
        <v>11</v>
      </c>
      <c r="I69" s="19" t="s">
        <v>22</v>
      </c>
      <c r="J69" s="19">
        <v>6</v>
      </c>
      <c r="K69" s="19"/>
      <c r="M69" s="9" t="str">
        <f t="shared" ref="M69:M80" si="55">IF(OR(C69 = "",E69 = ""), "", B69)</f>
        <v>Willow</v>
      </c>
      <c r="N69" s="9" t="str">
        <f t="shared" ref="N69:N80" si="56">IF(OR(C69 = "",E69 = ""), "", F69)</f>
        <v>Luiz Coelho</v>
      </c>
      <c r="O69" s="9" t="str">
        <f t="shared" ref="O69:O80" si="57">IF(C69&gt;E69,B69, IF(E69&gt;C69,F69, ""))</f>
        <v>Willow</v>
      </c>
      <c r="P69" s="9" t="str">
        <f t="shared" ref="P69:P80" si="58">IF(OR(C69 = "",E69 = ""), "", IF(C69=E69,B69, ""))</f>
        <v/>
      </c>
      <c r="Q69" s="9" t="str">
        <f t="shared" ref="Q69:Q80" si="59">IF(OR(C69 = "",E69 = ""), "", IF(C69=E69,F69, ""))</f>
        <v/>
      </c>
      <c r="R69" s="9" t="str">
        <f t="shared" ref="R69:R80" si="60">IF(C69&gt;E69,F69, IF(E69&gt;C69,B69, ""))</f>
        <v>Luiz Coelho</v>
      </c>
      <c r="S69" s="9" t="str">
        <f t="shared" ref="S69:S80" si="61">IF(OR(C69 = "",E69 = ""), "", B69)</f>
        <v>Willow</v>
      </c>
      <c r="T69" s="9">
        <f t="shared" ref="T69:T80" si="62">IF(C69 = "", "", C69)</f>
        <v>2</v>
      </c>
      <c r="U69" s="9" t="str">
        <f t="shared" ref="U69:U80" si="63">IF(OR(C69 = "",E69 = ""), "", F69)</f>
        <v>Luiz Coelho</v>
      </c>
      <c r="V69" s="9">
        <f t="shared" ref="V69:V80" si="64">IF(E69 = "", "", E69)</f>
        <v>0</v>
      </c>
      <c r="W69" s="9">
        <f t="shared" ref="W69:W80" si="65">IF(C69 = "", "", C69)</f>
        <v>2</v>
      </c>
    </row>
    <row r="70" spans="1:23" x14ac:dyDescent="0.25">
      <c r="A70" s="8">
        <v>4</v>
      </c>
      <c r="B70" s="9" t="str">
        <f>VLOOKUP($A70, Equipes!$A$3:$B$30, 2, FALSE)</f>
        <v>Afonso</v>
      </c>
      <c r="C70" s="18">
        <v>2</v>
      </c>
      <c r="D70" s="10" t="s">
        <v>21</v>
      </c>
      <c r="E70" s="18">
        <v>0</v>
      </c>
      <c r="F70" s="11" t="str">
        <f>VLOOKUP($G70, Equipes!$A$3:$B$30, 2, FALSE)</f>
        <v>DJ Iury</v>
      </c>
      <c r="G70" s="8">
        <v>2</v>
      </c>
      <c r="H70" s="9">
        <v>2</v>
      </c>
      <c r="I70" s="9" t="s">
        <v>22</v>
      </c>
      <c r="J70" s="9">
        <v>6</v>
      </c>
      <c r="M70" s="9" t="str">
        <f t="shared" si="55"/>
        <v>Afonso</v>
      </c>
      <c r="N70" s="9" t="str">
        <f t="shared" si="56"/>
        <v>DJ Iury</v>
      </c>
      <c r="O70" s="9" t="str">
        <f t="shared" si="57"/>
        <v>Afonso</v>
      </c>
      <c r="P70" s="9" t="str">
        <f t="shared" si="58"/>
        <v/>
      </c>
      <c r="Q70" s="9" t="str">
        <f t="shared" si="59"/>
        <v/>
      </c>
      <c r="R70" s="9" t="str">
        <f t="shared" si="60"/>
        <v>DJ Iury</v>
      </c>
      <c r="S70" s="9" t="str">
        <f t="shared" si="61"/>
        <v>Afonso</v>
      </c>
      <c r="T70" s="9">
        <f t="shared" si="62"/>
        <v>2</v>
      </c>
      <c r="U70" s="9" t="str">
        <f t="shared" si="63"/>
        <v>DJ Iury</v>
      </c>
      <c r="V70" s="9">
        <f t="shared" si="64"/>
        <v>0</v>
      </c>
      <c r="W70" s="9">
        <f t="shared" si="65"/>
        <v>2</v>
      </c>
    </row>
    <row r="71" spans="1:23" x14ac:dyDescent="0.25">
      <c r="A71" s="8">
        <v>7</v>
      </c>
      <c r="B71" s="19" t="str">
        <f>VLOOKUP($A71, Equipes!$A$3:$B$30, 2, FALSE)</f>
        <v>Cortez</v>
      </c>
      <c r="C71" s="18">
        <v>0</v>
      </c>
      <c r="D71" s="20" t="s">
        <v>21</v>
      </c>
      <c r="E71" s="18">
        <v>0</v>
      </c>
      <c r="F71" s="21" t="str">
        <f>VLOOKUP($G71, Equipes!$A$3:$B$30, 2, FALSE)</f>
        <v>Pepe</v>
      </c>
      <c r="G71" s="22">
        <v>6</v>
      </c>
      <c r="H71" s="19">
        <v>14</v>
      </c>
      <c r="I71" s="19" t="s">
        <v>22</v>
      </c>
      <c r="J71" s="19">
        <v>6</v>
      </c>
      <c r="K71" s="19"/>
      <c r="M71" s="9" t="str">
        <f t="shared" si="55"/>
        <v>Cortez</v>
      </c>
      <c r="N71" s="9" t="str">
        <f t="shared" si="56"/>
        <v>Pepe</v>
      </c>
      <c r="O71" s="9" t="str">
        <f t="shared" si="57"/>
        <v/>
      </c>
      <c r="P71" s="9" t="str">
        <f t="shared" si="58"/>
        <v>Cortez</v>
      </c>
      <c r="Q71" s="9" t="str">
        <f t="shared" si="59"/>
        <v>Pepe</v>
      </c>
      <c r="R71" s="9" t="str">
        <f t="shared" si="60"/>
        <v/>
      </c>
      <c r="S71" s="9" t="str">
        <f t="shared" si="61"/>
        <v>Cortez</v>
      </c>
      <c r="T71" s="9">
        <f t="shared" si="62"/>
        <v>0</v>
      </c>
      <c r="U71" s="9" t="str">
        <f t="shared" si="63"/>
        <v>Pepe</v>
      </c>
      <c r="V71" s="9">
        <f t="shared" si="64"/>
        <v>0</v>
      </c>
      <c r="W71" s="9">
        <f t="shared" si="65"/>
        <v>0</v>
      </c>
    </row>
    <row r="72" spans="1:23" x14ac:dyDescent="0.25">
      <c r="A72" s="8">
        <v>8</v>
      </c>
      <c r="B72" s="9" t="str">
        <f>VLOOKUP($A72, Equipes!$A$3:$B$30, 2, FALSE)</f>
        <v>Teruel</v>
      </c>
      <c r="C72" s="18">
        <v>1</v>
      </c>
      <c r="D72" s="10" t="s">
        <v>21</v>
      </c>
      <c r="E72" s="18">
        <v>3</v>
      </c>
      <c r="F72" s="11" t="str">
        <f>VLOOKUP($G72, Equipes!$A$3:$B$30, 2, FALSE)</f>
        <v>Ruas</v>
      </c>
      <c r="G72" s="8">
        <v>10</v>
      </c>
      <c r="H72" s="9">
        <v>12</v>
      </c>
      <c r="I72" s="9" t="s">
        <v>23</v>
      </c>
      <c r="J72" s="9">
        <v>6</v>
      </c>
      <c r="M72" s="9" t="str">
        <f t="shared" si="55"/>
        <v>Teruel</v>
      </c>
      <c r="N72" s="9" t="str">
        <f t="shared" si="56"/>
        <v>Ruas</v>
      </c>
      <c r="O72" s="9" t="str">
        <f t="shared" si="57"/>
        <v>Ruas</v>
      </c>
      <c r="P72" s="9" t="str">
        <f t="shared" si="58"/>
        <v/>
      </c>
      <c r="Q72" s="9" t="str">
        <f t="shared" si="59"/>
        <v/>
      </c>
      <c r="R72" s="9" t="str">
        <f t="shared" si="60"/>
        <v>Teruel</v>
      </c>
      <c r="S72" s="9" t="str">
        <f t="shared" si="61"/>
        <v>Teruel</v>
      </c>
      <c r="T72" s="9">
        <f t="shared" si="62"/>
        <v>1</v>
      </c>
      <c r="U72" s="9" t="str">
        <f t="shared" si="63"/>
        <v>Ruas</v>
      </c>
      <c r="V72" s="9">
        <f t="shared" si="64"/>
        <v>3</v>
      </c>
      <c r="W72" s="9">
        <f t="shared" si="65"/>
        <v>1</v>
      </c>
    </row>
    <row r="73" spans="1:23" x14ac:dyDescent="0.25">
      <c r="A73" s="8">
        <v>11</v>
      </c>
      <c r="B73" s="19" t="str">
        <f>VLOOKUP($A73, Equipes!$A$3:$B$30, 2, FALSE)</f>
        <v>Mario</v>
      </c>
      <c r="C73" s="18">
        <v>1</v>
      </c>
      <c r="D73" s="20" t="s">
        <v>21</v>
      </c>
      <c r="E73" s="18">
        <v>1</v>
      </c>
      <c r="F73" s="21" t="str">
        <f>VLOOKUP($G73, Equipes!$A$3:$B$30, 2, FALSE)</f>
        <v>Tupinamba</v>
      </c>
      <c r="G73" s="22">
        <v>9</v>
      </c>
      <c r="H73" s="19">
        <v>5</v>
      </c>
      <c r="I73" s="19" t="s">
        <v>23</v>
      </c>
      <c r="J73" s="19">
        <v>6</v>
      </c>
      <c r="K73" s="19"/>
      <c r="M73" s="9" t="str">
        <f t="shared" si="55"/>
        <v>Mario</v>
      </c>
      <c r="N73" s="9" t="str">
        <f t="shared" si="56"/>
        <v>Tupinamba</v>
      </c>
      <c r="O73" s="9" t="str">
        <f t="shared" si="57"/>
        <v/>
      </c>
      <c r="P73" s="9" t="str">
        <f t="shared" si="58"/>
        <v>Mario</v>
      </c>
      <c r="Q73" s="9" t="str">
        <f t="shared" si="59"/>
        <v>Tupinamba</v>
      </c>
      <c r="R73" s="9" t="str">
        <f t="shared" si="60"/>
        <v/>
      </c>
      <c r="S73" s="9" t="str">
        <f t="shared" si="61"/>
        <v>Mario</v>
      </c>
      <c r="T73" s="9">
        <f t="shared" si="62"/>
        <v>1</v>
      </c>
      <c r="U73" s="9" t="str">
        <f t="shared" si="63"/>
        <v>Tupinamba</v>
      </c>
      <c r="V73" s="9">
        <f t="shared" si="64"/>
        <v>1</v>
      </c>
      <c r="W73" s="9">
        <f t="shared" si="65"/>
        <v>1</v>
      </c>
    </row>
    <row r="74" spans="1:23" x14ac:dyDescent="0.25">
      <c r="A74" s="8">
        <v>14</v>
      </c>
      <c r="B74" s="9" t="str">
        <f>VLOOKUP($A74, Equipes!$A$3:$B$30, 2, FALSE)</f>
        <v>Elsio</v>
      </c>
      <c r="C74" s="18">
        <v>1</v>
      </c>
      <c r="D74" s="10" t="s">
        <v>21</v>
      </c>
      <c r="E74" s="18">
        <v>0</v>
      </c>
      <c r="F74" s="11" t="str">
        <f>VLOOKUP($G74, Equipes!$A$3:$B$30, 2, FALSE)</f>
        <v>Léo Carioca</v>
      </c>
      <c r="G74" s="8">
        <v>13</v>
      </c>
      <c r="H74" s="9">
        <v>9</v>
      </c>
      <c r="I74" s="9" t="s">
        <v>23</v>
      </c>
      <c r="J74" s="9">
        <v>6</v>
      </c>
      <c r="M74" s="9" t="str">
        <f t="shared" si="55"/>
        <v>Elsio</v>
      </c>
      <c r="N74" s="9" t="str">
        <f t="shared" si="56"/>
        <v>Léo Carioca</v>
      </c>
      <c r="O74" s="9" t="str">
        <f t="shared" si="57"/>
        <v>Elsio</v>
      </c>
      <c r="P74" s="9" t="str">
        <f t="shared" si="58"/>
        <v/>
      </c>
      <c r="Q74" s="9" t="str">
        <f t="shared" si="59"/>
        <v/>
      </c>
      <c r="R74" s="9" t="str">
        <f t="shared" si="60"/>
        <v>Léo Carioca</v>
      </c>
      <c r="S74" s="9" t="str">
        <f t="shared" si="61"/>
        <v>Elsio</v>
      </c>
      <c r="T74" s="9">
        <f t="shared" si="62"/>
        <v>1</v>
      </c>
      <c r="U74" s="9" t="str">
        <f t="shared" si="63"/>
        <v>Léo Carioca</v>
      </c>
      <c r="V74" s="9">
        <f t="shared" si="64"/>
        <v>0</v>
      </c>
      <c r="W74" s="9">
        <f t="shared" si="65"/>
        <v>1</v>
      </c>
    </row>
    <row r="75" spans="1:23" x14ac:dyDescent="0.25">
      <c r="A75" s="8">
        <v>15</v>
      </c>
      <c r="B75" s="19" t="str">
        <f>VLOOKUP($A75, Equipes!$A$3:$B$30, 2, FALSE)</f>
        <v>Vinicius Rolim</v>
      </c>
      <c r="C75" s="18">
        <v>5</v>
      </c>
      <c r="D75" s="20" t="s">
        <v>21</v>
      </c>
      <c r="E75" s="18">
        <v>3</v>
      </c>
      <c r="F75" s="21" t="str">
        <f>VLOOKUP($G75, Equipes!$A$3:$B$30, 2, FALSE)</f>
        <v>Diogo</v>
      </c>
      <c r="G75" s="22">
        <v>17</v>
      </c>
      <c r="H75" s="19">
        <v>13</v>
      </c>
      <c r="I75" s="19" t="s">
        <v>24</v>
      </c>
      <c r="J75" s="19">
        <v>6</v>
      </c>
      <c r="K75" s="19"/>
      <c r="M75" s="9" t="str">
        <f t="shared" si="55"/>
        <v>Vinicius Rolim</v>
      </c>
      <c r="N75" s="9" t="str">
        <f t="shared" si="56"/>
        <v>Diogo</v>
      </c>
      <c r="O75" s="9" t="str">
        <f t="shared" si="57"/>
        <v>Vinicius Rolim</v>
      </c>
      <c r="P75" s="9" t="str">
        <f t="shared" si="58"/>
        <v/>
      </c>
      <c r="Q75" s="9" t="str">
        <f t="shared" si="59"/>
        <v/>
      </c>
      <c r="R75" s="9" t="str">
        <f t="shared" si="60"/>
        <v>Diogo</v>
      </c>
      <c r="S75" s="9" t="str">
        <f t="shared" si="61"/>
        <v>Vinicius Rolim</v>
      </c>
      <c r="T75" s="9">
        <f t="shared" si="62"/>
        <v>5</v>
      </c>
      <c r="U75" s="9" t="str">
        <f t="shared" si="63"/>
        <v>Diogo</v>
      </c>
      <c r="V75" s="9">
        <f t="shared" si="64"/>
        <v>3</v>
      </c>
      <c r="W75" s="9">
        <f t="shared" si="65"/>
        <v>5</v>
      </c>
    </row>
    <row r="76" spans="1:23" x14ac:dyDescent="0.25">
      <c r="A76" s="8">
        <v>18</v>
      </c>
      <c r="B76" s="9" t="str">
        <f>VLOOKUP($A76, Equipes!$A$3:$B$30, 2, FALSE)</f>
        <v>Felix</v>
      </c>
      <c r="C76" s="18">
        <v>0</v>
      </c>
      <c r="D76" s="10" t="s">
        <v>21</v>
      </c>
      <c r="E76" s="18">
        <v>0</v>
      </c>
      <c r="F76" s="11" t="str">
        <f>VLOOKUP($G76, Equipes!$A$3:$B$30, 2, FALSE)</f>
        <v>Professor</v>
      </c>
      <c r="G76" s="8">
        <v>16</v>
      </c>
      <c r="H76" s="9">
        <v>1</v>
      </c>
      <c r="I76" s="9" t="s">
        <v>24</v>
      </c>
      <c r="J76" s="9">
        <v>6</v>
      </c>
      <c r="M76" s="9" t="str">
        <f t="shared" si="55"/>
        <v>Felix</v>
      </c>
      <c r="N76" s="9" t="str">
        <f t="shared" si="56"/>
        <v>Professor</v>
      </c>
      <c r="O76" s="9" t="str">
        <f t="shared" si="57"/>
        <v/>
      </c>
      <c r="P76" s="9" t="str">
        <f t="shared" si="58"/>
        <v>Felix</v>
      </c>
      <c r="Q76" s="9" t="str">
        <f t="shared" si="59"/>
        <v>Professor</v>
      </c>
      <c r="R76" s="9" t="str">
        <f t="shared" si="60"/>
        <v/>
      </c>
      <c r="S76" s="9" t="str">
        <f t="shared" si="61"/>
        <v>Felix</v>
      </c>
      <c r="T76" s="9">
        <f t="shared" si="62"/>
        <v>0</v>
      </c>
      <c r="U76" s="9" t="str">
        <f t="shared" si="63"/>
        <v>Professor</v>
      </c>
      <c r="V76" s="9">
        <f t="shared" si="64"/>
        <v>0</v>
      </c>
      <c r="W76" s="9">
        <f t="shared" si="65"/>
        <v>0</v>
      </c>
    </row>
    <row r="77" spans="1:23" x14ac:dyDescent="0.25">
      <c r="A77" s="8">
        <v>21</v>
      </c>
      <c r="B77" s="19" t="str">
        <f>VLOOKUP($A77, Equipes!$A$3:$B$30, 2, FALSE)</f>
        <v xml:space="preserve">Marcão </v>
      </c>
      <c r="C77" s="18">
        <v>1</v>
      </c>
      <c r="D77" s="20" t="s">
        <v>21</v>
      </c>
      <c r="E77" s="18">
        <v>1</v>
      </c>
      <c r="F77" s="21" t="str">
        <f>VLOOKUP($G77, Equipes!$A$3:$B$30, 2, FALSE)</f>
        <v>Erismar</v>
      </c>
      <c r="G77" s="22">
        <v>20</v>
      </c>
      <c r="H77" s="19">
        <v>3</v>
      </c>
      <c r="I77" s="19" t="s">
        <v>24</v>
      </c>
      <c r="J77" s="19">
        <v>6</v>
      </c>
      <c r="K77" s="19"/>
      <c r="M77" s="9" t="str">
        <f t="shared" si="55"/>
        <v xml:space="preserve">Marcão </v>
      </c>
      <c r="N77" s="9" t="str">
        <f t="shared" si="56"/>
        <v>Erismar</v>
      </c>
      <c r="O77" s="9" t="str">
        <f t="shared" si="57"/>
        <v/>
      </c>
      <c r="P77" s="9" t="str">
        <f t="shared" si="58"/>
        <v xml:space="preserve">Marcão </v>
      </c>
      <c r="Q77" s="9" t="str">
        <f t="shared" si="59"/>
        <v>Erismar</v>
      </c>
      <c r="R77" s="9" t="str">
        <f t="shared" si="60"/>
        <v/>
      </c>
      <c r="S77" s="9" t="str">
        <f t="shared" si="61"/>
        <v xml:space="preserve">Marcão </v>
      </c>
      <c r="T77" s="9">
        <f t="shared" si="62"/>
        <v>1</v>
      </c>
      <c r="U77" s="9" t="str">
        <f t="shared" si="63"/>
        <v>Erismar</v>
      </c>
      <c r="V77" s="9">
        <f t="shared" si="64"/>
        <v>1</v>
      </c>
      <c r="W77" s="9">
        <f t="shared" si="65"/>
        <v>1</v>
      </c>
    </row>
    <row r="78" spans="1:23" x14ac:dyDescent="0.25">
      <c r="A78" s="8">
        <v>22</v>
      </c>
      <c r="B78" s="9" t="str">
        <f>VLOOKUP($A78, Equipes!$A$3:$B$30, 2, FALSE)</f>
        <v>Galdeano</v>
      </c>
      <c r="C78" s="18">
        <v>0</v>
      </c>
      <c r="D78" s="10" t="s">
        <v>21</v>
      </c>
      <c r="E78" s="18">
        <v>1</v>
      </c>
      <c r="F78" s="11" t="str">
        <f>VLOOKUP($G78, Equipes!$A$3:$B$30, 2, FALSE)</f>
        <v>Tabajara</v>
      </c>
      <c r="G78" s="8">
        <v>24</v>
      </c>
      <c r="H78" s="9">
        <v>8</v>
      </c>
      <c r="I78" s="9" t="s">
        <v>16</v>
      </c>
      <c r="J78" s="9">
        <v>6</v>
      </c>
      <c r="M78" s="9" t="str">
        <f t="shared" si="55"/>
        <v>Galdeano</v>
      </c>
      <c r="N78" s="9" t="str">
        <f t="shared" si="56"/>
        <v>Tabajara</v>
      </c>
      <c r="O78" s="9" t="str">
        <f t="shared" si="57"/>
        <v>Tabajara</v>
      </c>
      <c r="P78" s="9" t="str">
        <f t="shared" si="58"/>
        <v/>
      </c>
      <c r="Q78" s="9" t="str">
        <f t="shared" si="59"/>
        <v/>
      </c>
      <c r="R78" s="9" t="str">
        <f t="shared" si="60"/>
        <v>Galdeano</v>
      </c>
      <c r="S78" s="9" t="str">
        <f t="shared" si="61"/>
        <v>Galdeano</v>
      </c>
      <c r="T78" s="9">
        <f t="shared" si="62"/>
        <v>0</v>
      </c>
      <c r="U78" s="9" t="str">
        <f t="shared" si="63"/>
        <v>Tabajara</v>
      </c>
      <c r="V78" s="9">
        <f t="shared" si="64"/>
        <v>1</v>
      </c>
      <c r="W78" s="9">
        <f t="shared" si="65"/>
        <v>0</v>
      </c>
    </row>
    <row r="79" spans="1:23" x14ac:dyDescent="0.25">
      <c r="A79" s="8">
        <v>25</v>
      </c>
      <c r="B79" s="19" t="str">
        <f>VLOOKUP($A79, Equipes!$A$3:$B$30, 2, FALSE)</f>
        <v>Rafael Balieiro</v>
      </c>
      <c r="C79" s="18">
        <v>0</v>
      </c>
      <c r="D79" s="20" t="s">
        <v>21</v>
      </c>
      <c r="E79" s="18">
        <v>0</v>
      </c>
      <c r="F79" s="21" t="str">
        <f>VLOOKUP($G79, Equipes!$A$3:$B$30, 2, FALSE)</f>
        <v>Luiz Moreira</v>
      </c>
      <c r="G79" s="22">
        <v>23</v>
      </c>
      <c r="H79" s="19">
        <v>4</v>
      </c>
      <c r="I79" s="19" t="s">
        <v>16</v>
      </c>
      <c r="J79" s="19">
        <v>6</v>
      </c>
      <c r="K79" s="19"/>
      <c r="M79" s="9" t="str">
        <f t="shared" si="55"/>
        <v>Rafael Balieiro</v>
      </c>
      <c r="N79" s="9" t="str">
        <f t="shared" si="56"/>
        <v>Luiz Moreira</v>
      </c>
      <c r="O79" s="9" t="str">
        <f t="shared" si="57"/>
        <v/>
      </c>
      <c r="P79" s="9" t="str">
        <f t="shared" si="58"/>
        <v>Rafael Balieiro</v>
      </c>
      <c r="Q79" s="9" t="str">
        <f t="shared" si="59"/>
        <v>Luiz Moreira</v>
      </c>
      <c r="R79" s="9" t="str">
        <f t="shared" si="60"/>
        <v/>
      </c>
      <c r="S79" s="9" t="str">
        <f t="shared" si="61"/>
        <v>Rafael Balieiro</v>
      </c>
      <c r="T79" s="9">
        <f t="shared" si="62"/>
        <v>0</v>
      </c>
      <c r="U79" s="9" t="str">
        <f t="shared" si="63"/>
        <v>Luiz Moreira</v>
      </c>
      <c r="V79" s="9">
        <f t="shared" si="64"/>
        <v>0</v>
      </c>
      <c r="W79" s="9">
        <f t="shared" si="65"/>
        <v>0</v>
      </c>
    </row>
    <row r="80" spans="1:23" x14ac:dyDescent="0.25">
      <c r="A80" s="8">
        <v>28</v>
      </c>
      <c r="B80" s="9" t="str">
        <f>VLOOKUP($A80, Equipes!$A$3:$B$30, 2, FALSE)</f>
        <v>Zé Luiz</v>
      </c>
      <c r="C80" s="18">
        <v>1</v>
      </c>
      <c r="D80" s="10" t="s">
        <v>21</v>
      </c>
      <c r="E80" s="18">
        <v>4</v>
      </c>
      <c r="F80" s="11" t="str">
        <f>VLOOKUP($G80, Equipes!$A$3:$B$30, 2, FALSE)</f>
        <v>Mario Mili</v>
      </c>
      <c r="G80" s="8">
        <v>27</v>
      </c>
      <c r="H80" s="9">
        <v>7</v>
      </c>
      <c r="I80" s="9" t="s">
        <v>16</v>
      </c>
      <c r="J80" s="9">
        <v>6</v>
      </c>
      <c r="M80" s="9" t="str">
        <f t="shared" si="55"/>
        <v>Zé Luiz</v>
      </c>
      <c r="N80" s="9" t="str">
        <f t="shared" si="56"/>
        <v>Mario Mili</v>
      </c>
      <c r="O80" s="9" t="str">
        <f t="shared" si="57"/>
        <v>Mario Mili</v>
      </c>
      <c r="P80" s="9" t="str">
        <f t="shared" si="58"/>
        <v/>
      </c>
      <c r="Q80" s="9" t="str">
        <f t="shared" si="59"/>
        <v/>
      </c>
      <c r="R80" s="9" t="str">
        <f t="shared" si="60"/>
        <v>Zé Luiz</v>
      </c>
      <c r="S80" s="9" t="str">
        <f t="shared" si="61"/>
        <v>Zé Luiz</v>
      </c>
      <c r="T80" s="9">
        <f t="shared" si="62"/>
        <v>1</v>
      </c>
      <c r="U80" s="9" t="str">
        <f t="shared" si="63"/>
        <v>Mario Mili</v>
      </c>
      <c r="V80" s="9">
        <f t="shared" si="64"/>
        <v>4</v>
      </c>
      <c r="W80" s="9">
        <f t="shared" si="65"/>
        <v>1</v>
      </c>
    </row>
    <row r="81" spans="1:23" x14ac:dyDescent="0.25">
      <c r="B81" s="13" t="s">
        <v>30</v>
      </c>
      <c r="C81" s="14"/>
      <c r="D81" s="14"/>
      <c r="E81" s="14"/>
      <c r="F81" s="15"/>
      <c r="G81" s="16"/>
      <c r="H81" s="13" t="s">
        <v>10</v>
      </c>
      <c r="I81" s="13" t="s">
        <v>11</v>
      </c>
      <c r="J81" s="13" t="s">
        <v>12</v>
      </c>
      <c r="K81" s="17">
        <f>K3 + TIME(0,120,0)</f>
        <v>45018.666666666672</v>
      </c>
      <c r="M81" s="12" t="s">
        <v>13</v>
      </c>
      <c r="N81" s="12" t="s">
        <v>13</v>
      </c>
      <c r="O81" s="12" t="s">
        <v>14</v>
      </c>
      <c r="P81" s="12" t="s">
        <v>15</v>
      </c>
      <c r="Q81" s="12" t="s">
        <v>15</v>
      </c>
      <c r="R81" s="12" t="s">
        <v>16</v>
      </c>
      <c r="S81" s="12" t="s">
        <v>17</v>
      </c>
      <c r="T81" s="12" t="s">
        <v>18</v>
      </c>
      <c r="U81" s="12" t="s">
        <v>14</v>
      </c>
      <c r="V81" s="12" t="s">
        <v>19</v>
      </c>
      <c r="W81" s="12" t="s">
        <v>20</v>
      </c>
    </row>
    <row r="82" spans="1:23" x14ac:dyDescent="0.25">
      <c r="A82" s="8">
        <v>1</v>
      </c>
      <c r="B82" s="9" t="str">
        <f>VLOOKUP($A82, Equipes!$A$3:$B$30, 2, FALSE)</f>
        <v>Willow</v>
      </c>
      <c r="C82" s="18">
        <v>6</v>
      </c>
      <c r="D82" s="10" t="s">
        <v>21</v>
      </c>
      <c r="E82" s="18">
        <v>2</v>
      </c>
      <c r="F82" s="11" t="str">
        <f>VLOOKUP($G82, Equipes!$A$3:$B$30, 2, FALSE)</f>
        <v>DJ Iury</v>
      </c>
      <c r="G82" s="8">
        <v>2</v>
      </c>
      <c r="H82" s="9">
        <v>5</v>
      </c>
      <c r="I82" s="9" t="s">
        <v>22</v>
      </c>
      <c r="J82" s="9">
        <v>7</v>
      </c>
      <c r="M82" s="9" t="str">
        <f t="shared" ref="M82:M93" si="66">IF(OR(C82 = "",E82 = ""), "", B82)</f>
        <v>Willow</v>
      </c>
      <c r="N82" s="9" t="str">
        <f t="shared" ref="N82:N93" si="67">IF(OR(C82 = "",E82 = ""), "", F82)</f>
        <v>DJ Iury</v>
      </c>
      <c r="O82" s="9" t="str">
        <f t="shared" ref="O82:O93" si="68">IF(C82&gt;E82,B82, IF(E82&gt;C82,F82, ""))</f>
        <v>Willow</v>
      </c>
      <c r="P82" s="9" t="str">
        <f t="shared" ref="P82:P93" si="69">IF(OR(C82 = "",E82 = ""), "", IF(C82=E82,B82, ""))</f>
        <v/>
      </c>
      <c r="Q82" s="9" t="str">
        <f t="shared" ref="Q82:Q93" si="70">IF(OR(C82 = "",E82 = ""), "", IF(C82=E82,F82, ""))</f>
        <v/>
      </c>
      <c r="R82" s="9" t="str">
        <f t="shared" ref="R82:R93" si="71">IF(C82&gt;E82,F82, IF(E82&gt;C82,B82, ""))</f>
        <v>DJ Iury</v>
      </c>
      <c r="S82" s="9" t="str">
        <f t="shared" ref="S82:S93" si="72">IF(OR(C82 = "",E82 = ""), "", B82)</f>
        <v>Willow</v>
      </c>
      <c r="T82" s="9">
        <f t="shared" ref="T82:T93" si="73">IF(C82 = "", "", C82)</f>
        <v>6</v>
      </c>
      <c r="U82" s="9" t="str">
        <f t="shared" ref="U82:U93" si="74">IF(OR(C82 = "",E82 = ""), "", F82)</f>
        <v>DJ Iury</v>
      </c>
      <c r="V82" s="9">
        <f t="shared" ref="V82:V93" si="75">IF(E82 = "", "", E82)</f>
        <v>2</v>
      </c>
      <c r="W82" s="9">
        <f t="shared" ref="W82:W93" si="76">IF(C82 = "", "", C82)</f>
        <v>6</v>
      </c>
    </row>
    <row r="83" spans="1:23" x14ac:dyDescent="0.25">
      <c r="A83" s="8">
        <v>3</v>
      </c>
      <c r="B83" s="19" t="str">
        <f>VLOOKUP($A83, Equipes!$A$3:$B$30, 2, FALSE)</f>
        <v>Luiz Coelho</v>
      </c>
      <c r="C83" s="18">
        <v>1</v>
      </c>
      <c r="D83" s="20" t="s">
        <v>21</v>
      </c>
      <c r="E83" s="18">
        <v>1</v>
      </c>
      <c r="F83" s="21" t="str">
        <f>VLOOKUP($G83, Equipes!$A$3:$B$30, 2, FALSE)</f>
        <v>Sergio Barreira</v>
      </c>
      <c r="G83" s="22">
        <v>5</v>
      </c>
      <c r="H83" s="19">
        <v>8</v>
      </c>
      <c r="I83" s="19" t="s">
        <v>22</v>
      </c>
      <c r="J83" s="19">
        <v>7</v>
      </c>
      <c r="K83" s="19"/>
      <c r="M83" s="9" t="str">
        <f t="shared" si="66"/>
        <v>Luiz Coelho</v>
      </c>
      <c r="N83" s="9" t="str">
        <f t="shared" si="67"/>
        <v>Sergio Barreira</v>
      </c>
      <c r="O83" s="9" t="str">
        <f t="shared" si="68"/>
        <v/>
      </c>
      <c r="P83" s="9" t="str">
        <f t="shared" si="69"/>
        <v>Luiz Coelho</v>
      </c>
      <c r="Q83" s="9" t="str">
        <f t="shared" si="70"/>
        <v>Sergio Barreira</v>
      </c>
      <c r="R83" s="9" t="str">
        <f t="shared" si="71"/>
        <v/>
      </c>
      <c r="S83" s="9" t="str">
        <f t="shared" si="72"/>
        <v>Luiz Coelho</v>
      </c>
      <c r="T83" s="9">
        <f t="shared" si="73"/>
        <v>1</v>
      </c>
      <c r="U83" s="9" t="str">
        <f t="shared" si="74"/>
        <v>Sergio Barreira</v>
      </c>
      <c r="V83" s="9">
        <f t="shared" si="75"/>
        <v>1</v>
      </c>
      <c r="W83" s="9">
        <f t="shared" si="76"/>
        <v>1</v>
      </c>
    </row>
    <row r="84" spans="1:23" x14ac:dyDescent="0.25">
      <c r="A84" s="8">
        <v>4</v>
      </c>
      <c r="B84" s="9" t="str">
        <f>VLOOKUP($A84, Equipes!$A$3:$B$30, 2, FALSE)</f>
        <v>Afonso</v>
      </c>
      <c r="C84" s="18">
        <v>3</v>
      </c>
      <c r="D84" s="10" t="s">
        <v>21</v>
      </c>
      <c r="E84" s="18">
        <v>1</v>
      </c>
      <c r="F84" s="11" t="str">
        <f>VLOOKUP($G84, Equipes!$A$3:$B$30, 2, FALSE)</f>
        <v>Pepe</v>
      </c>
      <c r="G84" s="8">
        <v>6</v>
      </c>
      <c r="H84" s="9">
        <v>11</v>
      </c>
      <c r="I84" s="9" t="s">
        <v>22</v>
      </c>
      <c r="J84" s="9">
        <v>7</v>
      </c>
      <c r="M84" s="9" t="str">
        <f t="shared" si="66"/>
        <v>Afonso</v>
      </c>
      <c r="N84" s="9" t="str">
        <f t="shared" si="67"/>
        <v>Pepe</v>
      </c>
      <c r="O84" s="9" t="str">
        <f t="shared" si="68"/>
        <v>Afonso</v>
      </c>
      <c r="P84" s="9" t="str">
        <f t="shared" si="69"/>
        <v/>
      </c>
      <c r="Q84" s="9" t="str">
        <f t="shared" si="70"/>
        <v/>
      </c>
      <c r="R84" s="9" t="str">
        <f t="shared" si="71"/>
        <v>Pepe</v>
      </c>
      <c r="S84" s="9" t="str">
        <f t="shared" si="72"/>
        <v>Afonso</v>
      </c>
      <c r="T84" s="9">
        <f t="shared" si="73"/>
        <v>3</v>
      </c>
      <c r="U84" s="9" t="str">
        <f t="shared" si="74"/>
        <v>Pepe</v>
      </c>
      <c r="V84" s="9">
        <f t="shared" si="75"/>
        <v>1</v>
      </c>
      <c r="W84" s="9">
        <f t="shared" si="76"/>
        <v>3</v>
      </c>
    </row>
    <row r="85" spans="1:23" x14ac:dyDescent="0.25">
      <c r="A85" s="8">
        <v>8</v>
      </c>
      <c r="B85" s="19" t="str">
        <f>VLOOKUP($A85, Equipes!$A$3:$B$30, 2, FALSE)</f>
        <v>Teruel</v>
      </c>
      <c r="C85" s="18">
        <v>3</v>
      </c>
      <c r="D85" s="20" t="s">
        <v>21</v>
      </c>
      <c r="E85" s="18">
        <v>0</v>
      </c>
      <c r="F85" s="21" t="str">
        <f>VLOOKUP($G85, Equipes!$A$3:$B$30, 2, FALSE)</f>
        <v>Tupinamba</v>
      </c>
      <c r="G85" s="22">
        <v>9</v>
      </c>
      <c r="H85" s="19">
        <v>3</v>
      </c>
      <c r="I85" s="19" t="s">
        <v>23</v>
      </c>
      <c r="J85" s="19">
        <v>7</v>
      </c>
      <c r="K85" s="19"/>
      <c r="M85" s="9" t="str">
        <f t="shared" si="66"/>
        <v>Teruel</v>
      </c>
      <c r="N85" s="9" t="str">
        <f t="shared" si="67"/>
        <v>Tupinamba</v>
      </c>
      <c r="O85" s="9" t="str">
        <f t="shared" si="68"/>
        <v>Teruel</v>
      </c>
      <c r="P85" s="9" t="str">
        <f t="shared" si="69"/>
        <v/>
      </c>
      <c r="Q85" s="9" t="str">
        <f t="shared" si="70"/>
        <v/>
      </c>
      <c r="R85" s="9" t="str">
        <f t="shared" si="71"/>
        <v>Tupinamba</v>
      </c>
      <c r="S85" s="9" t="str">
        <f t="shared" si="72"/>
        <v>Teruel</v>
      </c>
      <c r="T85" s="9">
        <f t="shared" si="73"/>
        <v>3</v>
      </c>
      <c r="U85" s="9" t="str">
        <f t="shared" si="74"/>
        <v>Tupinamba</v>
      </c>
      <c r="V85" s="9">
        <f t="shared" si="75"/>
        <v>0</v>
      </c>
      <c r="W85" s="9">
        <f t="shared" si="76"/>
        <v>3</v>
      </c>
    </row>
    <row r="86" spans="1:23" x14ac:dyDescent="0.25">
      <c r="A86" s="8">
        <v>10</v>
      </c>
      <c r="B86" s="9" t="str">
        <f>VLOOKUP($A86, Equipes!$A$3:$B$30, 2, FALSE)</f>
        <v>Ruas</v>
      </c>
      <c r="C86" s="18">
        <v>3</v>
      </c>
      <c r="D86" s="10" t="s">
        <v>21</v>
      </c>
      <c r="E86" s="18">
        <v>1</v>
      </c>
      <c r="F86" s="11" t="str">
        <f>VLOOKUP($G86, Equipes!$A$3:$B$30, 2, FALSE)</f>
        <v>Reginaldo</v>
      </c>
      <c r="G86" s="8">
        <v>12</v>
      </c>
      <c r="H86" s="9">
        <v>7</v>
      </c>
      <c r="I86" s="9" t="s">
        <v>23</v>
      </c>
      <c r="J86" s="9">
        <v>7</v>
      </c>
      <c r="M86" s="9" t="str">
        <f t="shared" si="66"/>
        <v>Ruas</v>
      </c>
      <c r="N86" s="9" t="str">
        <f t="shared" si="67"/>
        <v>Reginaldo</v>
      </c>
      <c r="O86" s="9" t="str">
        <f t="shared" si="68"/>
        <v>Ruas</v>
      </c>
      <c r="P86" s="9" t="str">
        <f t="shared" si="69"/>
        <v/>
      </c>
      <c r="Q86" s="9" t="str">
        <f t="shared" si="70"/>
        <v/>
      </c>
      <c r="R86" s="9" t="str">
        <f t="shared" si="71"/>
        <v>Reginaldo</v>
      </c>
      <c r="S86" s="9" t="str">
        <f t="shared" si="72"/>
        <v>Ruas</v>
      </c>
      <c r="T86" s="9">
        <f t="shared" si="73"/>
        <v>3</v>
      </c>
      <c r="U86" s="9" t="str">
        <f t="shared" si="74"/>
        <v>Reginaldo</v>
      </c>
      <c r="V86" s="9">
        <f t="shared" si="75"/>
        <v>1</v>
      </c>
      <c r="W86" s="9">
        <f t="shared" si="76"/>
        <v>3</v>
      </c>
    </row>
    <row r="87" spans="1:23" x14ac:dyDescent="0.25">
      <c r="A87" s="8">
        <v>11</v>
      </c>
      <c r="B87" s="19" t="str">
        <f>VLOOKUP($A87, Equipes!$A$3:$B$30, 2, FALSE)</f>
        <v>Mario</v>
      </c>
      <c r="C87" s="18">
        <v>0</v>
      </c>
      <c r="D87" s="20" t="s">
        <v>21</v>
      </c>
      <c r="E87" s="18">
        <v>0</v>
      </c>
      <c r="F87" s="21" t="str">
        <f>VLOOKUP($G87, Equipes!$A$3:$B$30, 2, FALSE)</f>
        <v>Léo Carioca</v>
      </c>
      <c r="G87" s="22">
        <v>13</v>
      </c>
      <c r="H87" s="19">
        <v>4</v>
      </c>
      <c r="I87" s="19" t="s">
        <v>23</v>
      </c>
      <c r="J87" s="19">
        <v>7</v>
      </c>
      <c r="K87" s="19"/>
      <c r="M87" s="9" t="str">
        <f t="shared" si="66"/>
        <v>Mario</v>
      </c>
      <c r="N87" s="9" t="str">
        <f t="shared" si="67"/>
        <v>Léo Carioca</v>
      </c>
      <c r="O87" s="9" t="str">
        <f t="shared" si="68"/>
        <v/>
      </c>
      <c r="P87" s="9" t="str">
        <f t="shared" si="69"/>
        <v>Mario</v>
      </c>
      <c r="Q87" s="9" t="str">
        <f t="shared" si="70"/>
        <v>Léo Carioca</v>
      </c>
      <c r="R87" s="9" t="str">
        <f t="shared" si="71"/>
        <v/>
      </c>
      <c r="S87" s="9" t="str">
        <f t="shared" si="72"/>
        <v>Mario</v>
      </c>
      <c r="T87" s="9">
        <f t="shared" si="73"/>
        <v>0</v>
      </c>
      <c r="U87" s="9" t="str">
        <f t="shared" si="74"/>
        <v>Léo Carioca</v>
      </c>
      <c r="V87" s="9">
        <f t="shared" si="75"/>
        <v>0</v>
      </c>
      <c r="W87" s="9">
        <f t="shared" si="76"/>
        <v>0</v>
      </c>
    </row>
    <row r="88" spans="1:23" x14ac:dyDescent="0.25">
      <c r="A88" s="8">
        <v>15</v>
      </c>
      <c r="B88" s="9" t="str">
        <f>VLOOKUP($A88, Equipes!$A$3:$B$30, 2, FALSE)</f>
        <v>Vinicius Rolim</v>
      </c>
      <c r="C88" s="18">
        <v>4</v>
      </c>
      <c r="D88" s="10" t="s">
        <v>21</v>
      </c>
      <c r="E88" s="18">
        <v>0</v>
      </c>
      <c r="F88" s="11" t="str">
        <f>VLOOKUP($G88, Equipes!$A$3:$B$30, 2, FALSE)</f>
        <v>Professor</v>
      </c>
      <c r="G88" s="8">
        <v>16</v>
      </c>
      <c r="H88" s="9">
        <v>14</v>
      </c>
      <c r="I88" s="9" t="s">
        <v>24</v>
      </c>
      <c r="J88" s="9">
        <v>7</v>
      </c>
      <c r="M88" s="9" t="str">
        <f t="shared" si="66"/>
        <v>Vinicius Rolim</v>
      </c>
      <c r="N88" s="9" t="str">
        <f t="shared" si="67"/>
        <v>Professor</v>
      </c>
      <c r="O88" s="9" t="str">
        <f t="shared" si="68"/>
        <v>Vinicius Rolim</v>
      </c>
      <c r="P88" s="9" t="str">
        <f t="shared" si="69"/>
        <v/>
      </c>
      <c r="Q88" s="9" t="str">
        <f t="shared" si="70"/>
        <v/>
      </c>
      <c r="R88" s="9" t="str">
        <f t="shared" si="71"/>
        <v>Professor</v>
      </c>
      <c r="S88" s="9" t="str">
        <f t="shared" si="72"/>
        <v>Vinicius Rolim</v>
      </c>
      <c r="T88" s="9">
        <f t="shared" si="73"/>
        <v>4</v>
      </c>
      <c r="U88" s="9" t="str">
        <f t="shared" si="74"/>
        <v>Professor</v>
      </c>
      <c r="V88" s="9">
        <f t="shared" si="75"/>
        <v>0</v>
      </c>
      <c r="W88" s="9">
        <f t="shared" si="76"/>
        <v>4</v>
      </c>
    </row>
    <row r="89" spans="1:23" x14ac:dyDescent="0.25">
      <c r="A89" s="8">
        <v>17</v>
      </c>
      <c r="B89" s="19" t="str">
        <f>VLOOKUP($A89, Equipes!$A$3:$B$30, 2, FALSE)</f>
        <v>Diogo</v>
      </c>
      <c r="C89" s="18">
        <v>5</v>
      </c>
      <c r="D89" s="20" t="s">
        <v>21</v>
      </c>
      <c r="E89" s="18">
        <v>2</v>
      </c>
      <c r="F89" s="21" t="str">
        <f>VLOOKUP($G89, Equipes!$A$3:$B$30, 2, FALSE)</f>
        <v>Rodrigo Moro</v>
      </c>
      <c r="G89" s="22">
        <v>19</v>
      </c>
      <c r="H89" s="19">
        <v>10</v>
      </c>
      <c r="I89" s="19" t="s">
        <v>24</v>
      </c>
      <c r="J89" s="19">
        <v>7</v>
      </c>
      <c r="K89" s="19"/>
      <c r="M89" s="9" t="str">
        <f t="shared" si="66"/>
        <v>Diogo</v>
      </c>
      <c r="N89" s="9" t="str">
        <f t="shared" si="67"/>
        <v>Rodrigo Moro</v>
      </c>
      <c r="O89" s="9" t="str">
        <f t="shared" si="68"/>
        <v>Diogo</v>
      </c>
      <c r="P89" s="9" t="str">
        <f t="shared" si="69"/>
        <v/>
      </c>
      <c r="Q89" s="9" t="str">
        <f t="shared" si="70"/>
        <v/>
      </c>
      <c r="R89" s="9" t="str">
        <f t="shared" si="71"/>
        <v>Rodrigo Moro</v>
      </c>
      <c r="S89" s="9" t="str">
        <f t="shared" si="72"/>
        <v>Diogo</v>
      </c>
      <c r="T89" s="9">
        <f t="shared" si="73"/>
        <v>5</v>
      </c>
      <c r="U89" s="9" t="str">
        <f t="shared" si="74"/>
        <v>Rodrigo Moro</v>
      </c>
      <c r="V89" s="9">
        <f t="shared" si="75"/>
        <v>2</v>
      </c>
      <c r="W89" s="9">
        <f t="shared" si="76"/>
        <v>5</v>
      </c>
    </row>
    <row r="90" spans="1:23" x14ac:dyDescent="0.25">
      <c r="A90" s="8">
        <v>18</v>
      </c>
      <c r="B90" s="9" t="str">
        <f>VLOOKUP($A90, Equipes!$A$3:$B$30, 2, FALSE)</f>
        <v>Felix</v>
      </c>
      <c r="C90" s="18">
        <v>0</v>
      </c>
      <c r="D90" s="10" t="s">
        <v>21</v>
      </c>
      <c r="E90" s="18">
        <v>1</v>
      </c>
      <c r="F90" s="11" t="str">
        <f>VLOOKUP($G90, Equipes!$A$3:$B$30, 2, FALSE)</f>
        <v>Erismar</v>
      </c>
      <c r="G90" s="8">
        <v>20</v>
      </c>
      <c r="H90" s="9">
        <v>6</v>
      </c>
      <c r="I90" s="9" t="s">
        <v>24</v>
      </c>
      <c r="J90" s="9">
        <v>7</v>
      </c>
      <c r="M90" s="9" t="str">
        <f t="shared" si="66"/>
        <v>Felix</v>
      </c>
      <c r="N90" s="9" t="str">
        <f t="shared" si="67"/>
        <v>Erismar</v>
      </c>
      <c r="O90" s="9" t="str">
        <f t="shared" si="68"/>
        <v>Erismar</v>
      </c>
      <c r="P90" s="9" t="str">
        <f t="shared" si="69"/>
        <v/>
      </c>
      <c r="Q90" s="9" t="str">
        <f t="shared" si="70"/>
        <v/>
      </c>
      <c r="R90" s="9" t="str">
        <f t="shared" si="71"/>
        <v>Felix</v>
      </c>
      <c r="S90" s="9" t="str">
        <f t="shared" si="72"/>
        <v>Felix</v>
      </c>
      <c r="T90" s="9">
        <f t="shared" si="73"/>
        <v>0</v>
      </c>
      <c r="U90" s="9" t="str">
        <f t="shared" si="74"/>
        <v>Erismar</v>
      </c>
      <c r="V90" s="9">
        <f t="shared" si="75"/>
        <v>1</v>
      </c>
      <c r="W90" s="9">
        <f t="shared" si="76"/>
        <v>0</v>
      </c>
    </row>
    <row r="91" spans="1:23" x14ac:dyDescent="0.25">
      <c r="A91" s="8">
        <v>22</v>
      </c>
      <c r="B91" s="19" t="str">
        <f>VLOOKUP($A91, Equipes!$A$3:$B$30, 2, FALSE)</f>
        <v>Galdeano</v>
      </c>
      <c r="C91" s="18">
        <v>2</v>
      </c>
      <c r="D91" s="20" t="s">
        <v>21</v>
      </c>
      <c r="E91" s="18">
        <v>0</v>
      </c>
      <c r="F91" s="21" t="str">
        <f>VLOOKUP($G91, Equipes!$A$3:$B$30, 2, FALSE)</f>
        <v>Luiz Moreira</v>
      </c>
      <c r="G91" s="22">
        <v>23</v>
      </c>
      <c r="H91" s="19">
        <v>12</v>
      </c>
      <c r="I91" s="19" t="s">
        <v>16</v>
      </c>
      <c r="J91" s="19">
        <v>7</v>
      </c>
      <c r="K91" s="19"/>
      <c r="M91" s="9" t="str">
        <f t="shared" si="66"/>
        <v>Galdeano</v>
      </c>
      <c r="N91" s="9" t="str">
        <f t="shared" si="67"/>
        <v>Luiz Moreira</v>
      </c>
      <c r="O91" s="9" t="str">
        <f t="shared" si="68"/>
        <v>Galdeano</v>
      </c>
      <c r="P91" s="9" t="str">
        <f t="shared" si="69"/>
        <v/>
      </c>
      <c r="Q91" s="9" t="str">
        <f t="shared" si="70"/>
        <v/>
      </c>
      <c r="R91" s="9" t="str">
        <f t="shared" si="71"/>
        <v>Luiz Moreira</v>
      </c>
      <c r="S91" s="9" t="str">
        <f t="shared" si="72"/>
        <v>Galdeano</v>
      </c>
      <c r="T91" s="9">
        <f t="shared" si="73"/>
        <v>2</v>
      </c>
      <c r="U91" s="9" t="str">
        <f t="shared" si="74"/>
        <v>Luiz Moreira</v>
      </c>
      <c r="V91" s="9">
        <f t="shared" si="75"/>
        <v>0</v>
      </c>
      <c r="W91" s="9">
        <f t="shared" si="76"/>
        <v>2</v>
      </c>
    </row>
    <row r="92" spans="1:23" x14ac:dyDescent="0.25">
      <c r="A92" s="8">
        <v>24</v>
      </c>
      <c r="B92" s="9" t="str">
        <f>VLOOKUP($A92, Equipes!$A$3:$B$30, 2, FALSE)</f>
        <v>Tabajara</v>
      </c>
      <c r="C92" s="18">
        <v>3</v>
      </c>
      <c r="D92" s="10" t="s">
        <v>21</v>
      </c>
      <c r="E92" s="18">
        <v>0</v>
      </c>
      <c r="F92" s="11" t="str">
        <f>VLOOKUP($G92, Equipes!$A$3:$B$30, 2, FALSE)</f>
        <v>Coelho</v>
      </c>
      <c r="G92" s="8">
        <v>26</v>
      </c>
      <c r="H92" s="9">
        <v>13</v>
      </c>
      <c r="I92" s="9" t="s">
        <v>16</v>
      </c>
      <c r="J92" s="9">
        <v>7</v>
      </c>
      <c r="M92" s="9" t="str">
        <f t="shared" si="66"/>
        <v>Tabajara</v>
      </c>
      <c r="N92" s="9" t="str">
        <f t="shared" si="67"/>
        <v>Coelho</v>
      </c>
      <c r="O92" s="9" t="str">
        <f t="shared" si="68"/>
        <v>Tabajara</v>
      </c>
      <c r="P92" s="9" t="str">
        <f t="shared" si="69"/>
        <v/>
      </c>
      <c r="Q92" s="9" t="str">
        <f t="shared" si="70"/>
        <v/>
      </c>
      <c r="R92" s="9" t="str">
        <f t="shared" si="71"/>
        <v>Coelho</v>
      </c>
      <c r="S92" s="9" t="str">
        <f t="shared" si="72"/>
        <v>Tabajara</v>
      </c>
      <c r="T92" s="9">
        <f t="shared" si="73"/>
        <v>3</v>
      </c>
      <c r="U92" s="9" t="str">
        <f t="shared" si="74"/>
        <v>Coelho</v>
      </c>
      <c r="V92" s="9">
        <f t="shared" si="75"/>
        <v>0</v>
      </c>
      <c r="W92" s="9">
        <f t="shared" si="76"/>
        <v>3</v>
      </c>
    </row>
    <row r="93" spans="1:23" x14ac:dyDescent="0.25">
      <c r="A93" s="8">
        <v>25</v>
      </c>
      <c r="B93" s="19" t="str">
        <f>VLOOKUP($A93, Equipes!$A$3:$B$30, 2, FALSE)</f>
        <v>Rafael Balieiro</v>
      </c>
      <c r="C93" s="18">
        <v>1</v>
      </c>
      <c r="D93" s="20" t="s">
        <v>21</v>
      </c>
      <c r="E93" s="18">
        <v>1</v>
      </c>
      <c r="F93" s="21" t="str">
        <f>VLOOKUP($G93, Equipes!$A$3:$B$30, 2, FALSE)</f>
        <v>Mario Mili</v>
      </c>
      <c r="G93" s="22">
        <v>27</v>
      </c>
      <c r="H93" s="19">
        <v>1</v>
      </c>
      <c r="I93" s="19" t="s">
        <v>16</v>
      </c>
      <c r="J93" s="19">
        <v>7</v>
      </c>
      <c r="K93" s="19"/>
      <c r="M93" s="9" t="str">
        <f t="shared" si="66"/>
        <v>Rafael Balieiro</v>
      </c>
      <c r="N93" s="9" t="str">
        <f t="shared" si="67"/>
        <v>Mario Mili</v>
      </c>
      <c r="O93" s="9" t="str">
        <f t="shared" si="68"/>
        <v/>
      </c>
      <c r="P93" s="9" t="str">
        <f t="shared" si="69"/>
        <v>Rafael Balieiro</v>
      </c>
      <c r="Q93" s="9" t="str">
        <f t="shared" si="70"/>
        <v>Mario Mili</v>
      </c>
      <c r="R93" s="9" t="str">
        <f t="shared" si="71"/>
        <v/>
      </c>
      <c r="S93" s="9" t="str">
        <f t="shared" si="72"/>
        <v>Rafael Balieiro</v>
      </c>
      <c r="T93" s="9">
        <f t="shared" si="73"/>
        <v>1</v>
      </c>
      <c r="U93" s="9" t="str">
        <f t="shared" si="74"/>
        <v>Mario Mili</v>
      </c>
      <c r="V93" s="9">
        <f t="shared" si="75"/>
        <v>1</v>
      </c>
      <c r="W93" s="9">
        <f t="shared" si="76"/>
        <v>1</v>
      </c>
    </row>
  </sheetData>
  <sheetProtection sheet="1" objects="1" scenarios="1" selectLockedCells="1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showGridLines="0" workbookViewId="0">
      <pane ySplit="1" topLeftCell="A2" activePane="bottomLeft" state="frozen"/>
      <selection pane="bottomLeft" activeCell="A3" sqref="A3"/>
    </sheetView>
  </sheetViews>
  <sheetFormatPr defaultRowHeight="10.5" x14ac:dyDescent="0.15"/>
  <cols>
    <col min="1" max="1" width="5" style="24" customWidth="1"/>
    <col min="2" max="2" width="3.5703125" style="24" customWidth="1"/>
    <col min="3" max="3" width="7.140625" style="24" customWidth="1"/>
    <col min="4" max="4" width="20.7109375" style="25" customWidth="1"/>
    <col min="5" max="13" width="7.140625" style="24" customWidth="1"/>
    <col min="14" max="14" width="10.7109375" style="24" customWidth="1"/>
    <col min="15" max="17" width="9.140625" style="26"/>
    <col min="18" max="16384" width="9.140625" style="23"/>
  </cols>
  <sheetData>
    <row r="1" spans="1:19" ht="20.25" x14ac:dyDescent="0.3">
      <c r="B1" s="2" t="s">
        <v>31</v>
      </c>
      <c r="S1" s="23" t="s">
        <v>40</v>
      </c>
    </row>
    <row r="2" spans="1:19" ht="12.75" x14ac:dyDescent="0.2">
      <c r="B2" s="3" t="s">
        <v>1</v>
      </c>
      <c r="S2" s="23">
        <f>SUM($G$6:$G$39)</f>
        <v>168</v>
      </c>
    </row>
    <row r="3" spans="1:19" x14ac:dyDescent="0.15">
      <c r="E3" s="27">
        <v>100000000</v>
      </c>
      <c r="F3" s="27">
        <v>100000</v>
      </c>
      <c r="H3" s="27">
        <v>10000</v>
      </c>
      <c r="K3" s="27">
        <v>1</v>
      </c>
      <c r="M3" s="27">
        <v>100</v>
      </c>
    </row>
    <row r="5" spans="1:19" ht="25.5" x14ac:dyDescent="0.5">
      <c r="A5" s="24" t="s">
        <v>32</v>
      </c>
      <c r="B5" s="24" t="s">
        <v>22</v>
      </c>
      <c r="C5" s="28" t="s">
        <v>22</v>
      </c>
      <c r="D5" s="29" t="s">
        <v>33</v>
      </c>
      <c r="E5" s="31" t="s">
        <v>34</v>
      </c>
      <c r="F5" s="31" t="s">
        <v>35</v>
      </c>
      <c r="G5" s="31" t="s">
        <v>13</v>
      </c>
      <c r="H5" s="31" t="s">
        <v>14</v>
      </c>
      <c r="I5" s="31" t="s">
        <v>15</v>
      </c>
      <c r="J5" s="31" t="s">
        <v>16</v>
      </c>
      <c r="K5" s="31" t="s">
        <v>36</v>
      </c>
      <c r="L5" s="31" t="s">
        <v>37</v>
      </c>
      <c r="M5" s="31" t="s">
        <v>38</v>
      </c>
      <c r="N5" s="30" t="s">
        <v>39</v>
      </c>
    </row>
    <row r="6" spans="1:19" x14ac:dyDescent="0.15">
      <c r="A6" s="24" t="str">
        <f t="shared" ref="A6:A12" ca="1" si="0">CONCATENATE(C6,B6)</f>
        <v>1A</v>
      </c>
      <c r="B6" s="24" t="s">
        <v>22</v>
      </c>
      <c r="C6" s="24">
        <f t="shared" ref="C6:C12" ca="1" si="1">IF(SUM($G$6:$G$12)=0,0,_xlfn.RANK.EQ(N6,$N$6:$N$12))</f>
        <v>1</v>
      </c>
      <c r="D6" s="25" t="str">
        <f>VLOOKUP($O6, Equipes!$A$3:$B$30, 2, FALSE)</f>
        <v>Willow</v>
      </c>
      <c r="E6" s="32">
        <f t="shared" ref="E6:E12" si="2">IF(G6=0,0,(F6)/(G6*3))</f>
        <v>0.88888888888888884</v>
      </c>
      <c r="F6" s="24">
        <f t="shared" ref="F6:F12" si="3">(H6*3)+(I6*1)</f>
        <v>16</v>
      </c>
      <c r="G6" s="24">
        <f>COUNTIF(Jogos!$M$1:$N$93, $D6)</f>
        <v>6</v>
      </c>
      <c r="H6" s="24">
        <f>COUNTIF(Jogos!$O$1:$O$93, $D6)</f>
        <v>5</v>
      </c>
      <c r="I6" s="24">
        <f>COUNTIF(Jogos!$P$1:$Q$93, $D6)</f>
        <v>1</v>
      </c>
      <c r="J6" s="24">
        <f>COUNTIF(Jogos!$R$1:$R$93, $D6)</f>
        <v>0</v>
      </c>
      <c r="K6" s="24">
        <f ca="1">SUMIF(Jogos!$S$1:$T$93, $D6, Jogos!$T$1:$T$93)+SUMIF(Jogos!$U$1:$V$93, $D6, Jogos!$V$1:$V$93)</f>
        <v>18</v>
      </c>
      <c r="L6" s="24">
        <f ca="1">SUMIF(Jogos!$S$1:$V$93, $D6, Jogos!$V$1:$V$93)+SUMIF(Jogos!$U$1:$W$93, $D6, Jogos!$W$1:$W$93)</f>
        <v>3</v>
      </c>
      <c r="M6" s="24">
        <f t="shared" ref="M6:M12" ca="1" si="4">K6-L6</f>
        <v>15</v>
      </c>
      <c r="N6" s="24">
        <f t="shared" ref="N6:N12" ca="1" si="5">(E6*E$3+F6*F$3+H6*H$3+M6*M$3+K6*K$3)/(E$3/100)-ROW(N6)/E$3</f>
        <v>90.540406828888877</v>
      </c>
      <c r="O6" s="26">
        <v>1</v>
      </c>
      <c r="P6" s="26">
        <f t="shared" ref="P6:P12" ca="1" si="6">(E6*E$3+F6*F$3+H6*H$3+M6*M$3+K6*K$3)/(E$3/100)</f>
        <v>90.540406888888882</v>
      </c>
      <c r="Q6" s="26">
        <f t="shared" ref="Q6:Q12" ca="1" si="7">IF(SUM($G$6:$G$12)=0,0,_xlfn.RANK.EQ(P6,$P$6:$P$12))</f>
        <v>1</v>
      </c>
    </row>
    <row r="7" spans="1:19" x14ac:dyDescent="0.15">
      <c r="A7" s="24" t="str">
        <f t="shared" ca="1" si="0"/>
        <v>4A</v>
      </c>
      <c r="B7" s="24" t="s">
        <v>22</v>
      </c>
      <c r="C7" s="24">
        <f t="shared" ca="1" si="1"/>
        <v>4</v>
      </c>
      <c r="D7" s="25" t="str">
        <f>VLOOKUP($O7, Equipes!$A$3:$B$30, 2, FALSE)</f>
        <v>DJ Iury</v>
      </c>
      <c r="E7" s="32">
        <f t="shared" si="2"/>
        <v>0.3888888888888889</v>
      </c>
      <c r="F7" s="24">
        <f t="shared" si="3"/>
        <v>7</v>
      </c>
      <c r="G7" s="24">
        <f>COUNTIF(Jogos!$M$1:$N$93, $D7)</f>
        <v>6</v>
      </c>
      <c r="H7" s="24">
        <f>COUNTIF(Jogos!$O$1:$O$93, $D7)</f>
        <v>2</v>
      </c>
      <c r="I7" s="24">
        <f>COUNTIF(Jogos!$P$1:$Q$93, $D7)</f>
        <v>1</v>
      </c>
      <c r="J7" s="24">
        <f>COUNTIF(Jogos!$R$1:$R$93, $D7)</f>
        <v>3</v>
      </c>
      <c r="K7" s="24">
        <f ca="1">SUMIF(Jogos!$S$1:$T$93, $D7, Jogos!$T$1:$T$93)+SUMIF(Jogos!$U$1:$V$93, $D7, Jogos!$V$1:$V$93)</f>
        <v>9</v>
      </c>
      <c r="L7" s="24">
        <f ca="1">SUMIF(Jogos!$S$1:$V$93, $D7, Jogos!$V$1:$V$93)+SUMIF(Jogos!$U$1:$W$93, $D7, Jogos!$W$1:$W$93)</f>
        <v>13</v>
      </c>
      <c r="M7" s="24">
        <f t="shared" ca="1" si="4"/>
        <v>-4</v>
      </c>
      <c r="N7" s="24">
        <f t="shared" ca="1" si="5"/>
        <v>39.608497818888893</v>
      </c>
      <c r="O7" s="26">
        <v>2</v>
      </c>
      <c r="P7" s="26">
        <f t="shared" ca="1" si="6"/>
        <v>39.608497888888891</v>
      </c>
      <c r="Q7" s="26">
        <f t="shared" ca="1" si="7"/>
        <v>4</v>
      </c>
    </row>
    <row r="8" spans="1:19" x14ac:dyDescent="0.15">
      <c r="A8" s="24" t="str">
        <f t="shared" ca="1" si="0"/>
        <v>2A</v>
      </c>
      <c r="B8" s="24" t="s">
        <v>22</v>
      </c>
      <c r="C8" s="24">
        <f t="shared" ca="1" si="1"/>
        <v>2</v>
      </c>
      <c r="D8" s="25" t="str">
        <f>VLOOKUP($O8, Equipes!$A$3:$B$30, 2, FALSE)</f>
        <v>Luiz Coelho</v>
      </c>
      <c r="E8" s="32">
        <f t="shared" si="2"/>
        <v>0.5</v>
      </c>
      <c r="F8" s="24">
        <f t="shared" si="3"/>
        <v>9</v>
      </c>
      <c r="G8" s="24">
        <f>COUNTIF(Jogos!$M$1:$N$93, $D8)</f>
        <v>6</v>
      </c>
      <c r="H8" s="24">
        <f>COUNTIF(Jogos!$O$1:$O$93, $D8)</f>
        <v>2</v>
      </c>
      <c r="I8" s="24">
        <f>COUNTIF(Jogos!$P$1:$Q$93, $D8)</f>
        <v>3</v>
      </c>
      <c r="J8" s="24">
        <f>COUNTIF(Jogos!$R$1:$R$93, $D8)</f>
        <v>1</v>
      </c>
      <c r="K8" s="24">
        <f ca="1">SUMIF(Jogos!$S$1:$T$93, $D8, Jogos!$T$1:$T$93)+SUMIF(Jogos!$U$1:$V$93, $D8, Jogos!$V$1:$V$93)</f>
        <v>5</v>
      </c>
      <c r="L8" s="24">
        <f ca="1">SUMIF(Jogos!$S$1:$V$93, $D8, Jogos!$V$1:$V$93)+SUMIF(Jogos!$U$1:$W$93, $D8, Jogos!$W$1:$W$93)</f>
        <v>5</v>
      </c>
      <c r="M8" s="24">
        <f t="shared" ca="1" si="4"/>
        <v>0</v>
      </c>
      <c r="N8" s="24">
        <f t="shared" ca="1" si="5"/>
        <v>50.920004920000004</v>
      </c>
      <c r="O8" s="26">
        <v>3</v>
      </c>
      <c r="P8" s="26">
        <f t="shared" ca="1" si="6"/>
        <v>50.920005000000003</v>
      </c>
      <c r="Q8" s="26">
        <f t="shared" ca="1" si="7"/>
        <v>2</v>
      </c>
    </row>
    <row r="9" spans="1:19" x14ac:dyDescent="0.15">
      <c r="A9" s="24" t="str">
        <f t="shared" ca="1" si="0"/>
        <v>3A</v>
      </c>
      <c r="B9" s="24" t="s">
        <v>22</v>
      </c>
      <c r="C9" s="24">
        <f t="shared" ca="1" si="1"/>
        <v>3</v>
      </c>
      <c r="D9" s="25" t="str">
        <f>VLOOKUP($O9, Equipes!$A$3:$B$30, 2, FALSE)</f>
        <v>Afonso</v>
      </c>
      <c r="E9" s="32">
        <f t="shared" si="2"/>
        <v>0.44444444444444442</v>
      </c>
      <c r="F9" s="24">
        <f t="shared" si="3"/>
        <v>8</v>
      </c>
      <c r="G9" s="24">
        <f>COUNTIF(Jogos!$M$1:$N$93, $D9)</f>
        <v>6</v>
      </c>
      <c r="H9" s="24">
        <f>COUNTIF(Jogos!$O$1:$O$93, $D9)</f>
        <v>2</v>
      </c>
      <c r="I9" s="24">
        <f>COUNTIF(Jogos!$P$1:$Q$93, $D9)</f>
        <v>2</v>
      </c>
      <c r="J9" s="24">
        <f>COUNTIF(Jogos!$R$1:$R$93, $D9)</f>
        <v>2</v>
      </c>
      <c r="K9" s="24">
        <f ca="1">SUMIF(Jogos!$S$1:$T$93, $D9, Jogos!$T$1:$T$93)+SUMIF(Jogos!$U$1:$V$93, $D9, Jogos!$V$1:$V$93)</f>
        <v>7</v>
      </c>
      <c r="L9" s="24">
        <f ca="1">SUMIF(Jogos!$S$1:$V$93, $D9, Jogos!$V$1:$V$93)+SUMIF(Jogos!$U$1:$W$93, $D9, Jogos!$W$1:$W$93)</f>
        <v>7</v>
      </c>
      <c r="M9" s="24">
        <f t="shared" ca="1" si="4"/>
        <v>0</v>
      </c>
      <c r="N9" s="24">
        <f t="shared" ca="1" si="5"/>
        <v>45.264451354444439</v>
      </c>
      <c r="O9" s="26">
        <v>4</v>
      </c>
      <c r="P9" s="26">
        <f t="shared" ca="1" si="6"/>
        <v>45.26445144444444</v>
      </c>
      <c r="Q9" s="26">
        <f t="shared" ca="1" si="7"/>
        <v>3</v>
      </c>
    </row>
    <row r="10" spans="1:19" x14ac:dyDescent="0.15">
      <c r="A10" s="24" t="str">
        <f t="shared" ca="1" si="0"/>
        <v>5A</v>
      </c>
      <c r="B10" s="24" t="s">
        <v>22</v>
      </c>
      <c r="C10" s="24">
        <f t="shared" ca="1" si="1"/>
        <v>5</v>
      </c>
      <c r="D10" s="25" t="str">
        <f>VLOOKUP($O10, Equipes!$A$3:$B$30, 2, FALSE)</f>
        <v>Sergio Barreira</v>
      </c>
      <c r="E10" s="32">
        <f t="shared" si="2"/>
        <v>0.3888888888888889</v>
      </c>
      <c r="F10" s="24">
        <f t="shared" si="3"/>
        <v>7</v>
      </c>
      <c r="G10" s="24">
        <f>COUNTIF(Jogos!$M$1:$N$93, $D10)</f>
        <v>6</v>
      </c>
      <c r="H10" s="24">
        <f>COUNTIF(Jogos!$O$1:$O$93, $D10)</f>
        <v>1</v>
      </c>
      <c r="I10" s="24">
        <f>COUNTIF(Jogos!$P$1:$Q$93, $D10)</f>
        <v>4</v>
      </c>
      <c r="J10" s="24">
        <f>COUNTIF(Jogos!$R$1:$R$93, $D10)</f>
        <v>1</v>
      </c>
      <c r="K10" s="24">
        <f ca="1">SUMIF(Jogos!$S$1:$T$93, $D10, Jogos!$T$1:$T$93)+SUMIF(Jogos!$U$1:$V$93, $D10, Jogos!$V$1:$V$93)</f>
        <v>6</v>
      </c>
      <c r="L10" s="24">
        <f ca="1">SUMIF(Jogos!$S$1:$V$93, $D10, Jogos!$V$1:$V$93)+SUMIF(Jogos!$U$1:$W$93, $D10, Jogos!$W$1:$W$93)</f>
        <v>6</v>
      </c>
      <c r="M10" s="24">
        <f t="shared" ca="1" si="4"/>
        <v>0</v>
      </c>
      <c r="N10" s="24">
        <f t="shared" ca="1" si="5"/>
        <v>39.598894788888884</v>
      </c>
      <c r="O10" s="26">
        <v>5</v>
      </c>
      <c r="P10" s="26">
        <f t="shared" ca="1" si="6"/>
        <v>39.598894888888886</v>
      </c>
      <c r="Q10" s="26">
        <f t="shared" ca="1" si="7"/>
        <v>5</v>
      </c>
    </row>
    <row r="11" spans="1:19" x14ac:dyDescent="0.15">
      <c r="A11" s="24" t="str">
        <f t="shared" ca="1" si="0"/>
        <v>6A</v>
      </c>
      <c r="B11" s="24" t="s">
        <v>22</v>
      </c>
      <c r="C11" s="24">
        <f t="shared" ca="1" si="1"/>
        <v>6</v>
      </c>
      <c r="D11" s="25" t="str">
        <f>VLOOKUP($O11, Equipes!$A$3:$B$30, 2, FALSE)</f>
        <v>Pepe</v>
      </c>
      <c r="E11" s="32">
        <f t="shared" si="2"/>
        <v>0.27777777777777779</v>
      </c>
      <c r="F11" s="24">
        <f t="shared" si="3"/>
        <v>5</v>
      </c>
      <c r="G11" s="24">
        <f>COUNTIF(Jogos!$M$1:$N$93, $D11)</f>
        <v>6</v>
      </c>
      <c r="H11" s="24">
        <f>COUNTIF(Jogos!$O$1:$O$93, $D11)</f>
        <v>1</v>
      </c>
      <c r="I11" s="24">
        <f>COUNTIF(Jogos!$P$1:$Q$93, $D11)</f>
        <v>2</v>
      </c>
      <c r="J11" s="24">
        <f>COUNTIF(Jogos!$R$1:$R$93, $D11)</f>
        <v>3</v>
      </c>
      <c r="K11" s="24">
        <f ca="1">SUMIF(Jogos!$S$1:$T$93, $D11, Jogos!$T$1:$T$93)+SUMIF(Jogos!$U$1:$V$93, $D11, Jogos!$V$1:$V$93)</f>
        <v>3</v>
      </c>
      <c r="L11" s="24">
        <f ca="1">SUMIF(Jogos!$S$1:$V$93, $D11, Jogos!$V$1:$V$93)+SUMIF(Jogos!$U$1:$W$93, $D11, Jogos!$W$1:$W$93)</f>
        <v>8</v>
      </c>
      <c r="M11" s="24">
        <f t="shared" ca="1" si="4"/>
        <v>-5</v>
      </c>
      <c r="N11" s="24">
        <f t="shared" ca="1" si="5"/>
        <v>28.287280667777782</v>
      </c>
      <c r="O11" s="26">
        <v>6</v>
      </c>
      <c r="P11" s="26">
        <f t="shared" ca="1" si="6"/>
        <v>28.287280777777781</v>
      </c>
      <c r="Q11" s="26">
        <f t="shared" ca="1" si="7"/>
        <v>6</v>
      </c>
    </row>
    <row r="12" spans="1:19" x14ac:dyDescent="0.15">
      <c r="A12" s="24" t="str">
        <f t="shared" ca="1" si="0"/>
        <v>7A</v>
      </c>
      <c r="B12" s="24" t="s">
        <v>22</v>
      </c>
      <c r="C12" s="24">
        <f t="shared" ca="1" si="1"/>
        <v>7</v>
      </c>
      <c r="D12" s="25" t="str">
        <f>VLOOKUP($O12, Equipes!$A$3:$B$30, 2, FALSE)</f>
        <v>Cortez</v>
      </c>
      <c r="E12" s="32">
        <f t="shared" si="2"/>
        <v>0.16666666666666666</v>
      </c>
      <c r="F12" s="24">
        <f t="shared" si="3"/>
        <v>3</v>
      </c>
      <c r="G12" s="24">
        <f>COUNTIF(Jogos!$M$1:$N$93, $D12)</f>
        <v>6</v>
      </c>
      <c r="H12" s="24">
        <f>COUNTIF(Jogos!$O$1:$O$93, $D12)</f>
        <v>0</v>
      </c>
      <c r="I12" s="24">
        <f>COUNTIF(Jogos!$P$1:$Q$93, $D12)</f>
        <v>3</v>
      </c>
      <c r="J12" s="24">
        <f>COUNTIF(Jogos!$R$1:$R$93, $D12)</f>
        <v>3</v>
      </c>
      <c r="K12" s="24">
        <f ca="1">SUMIF(Jogos!$S$1:$T$93, $D12, Jogos!$T$1:$T$93)+SUMIF(Jogos!$U$1:$V$93, $D12, Jogos!$V$1:$V$93)</f>
        <v>4</v>
      </c>
      <c r="L12" s="24">
        <f ca="1">SUMIF(Jogos!$S$1:$V$93, $D12, Jogos!$V$1:$V$93)+SUMIF(Jogos!$U$1:$W$93, $D12, Jogos!$W$1:$W$93)</f>
        <v>10</v>
      </c>
      <c r="M12" s="24">
        <f t="shared" ca="1" si="4"/>
        <v>-6</v>
      </c>
      <c r="N12" s="24">
        <f t="shared" ca="1" si="5"/>
        <v>16.966070546666664</v>
      </c>
      <c r="O12" s="26">
        <v>7</v>
      </c>
      <c r="P12" s="26">
        <f t="shared" ca="1" si="6"/>
        <v>16.966070666666663</v>
      </c>
      <c r="Q12" s="26">
        <f t="shared" ca="1" si="7"/>
        <v>7</v>
      </c>
    </row>
    <row r="14" spans="1:19" ht="25.5" x14ac:dyDescent="0.5">
      <c r="A14" s="24" t="s">
        <v>32</v>
      </c>
      <c r="B14" s="24" t="s">
        <v>23</v>
      </c>
      <c r="C14" s="28" t="s">
        <v>23</v>
      </c>
      <c r="D14" s="29" t="s">
        <v>33</v>
      </c>
      <c r="E14" s="31" t="s">
        <v>34</v>
      </c>
      <c r="F14" s="31" t="s">
        <v>35</v>
      </c>
      <c r="G14" s="31" t="s">
        <v>13</v>
      </c>
      <c r="H14" s="31" t="s">
        <v>14</v>
      </c>
      <c r="I14" s="31" t="s">
        <v>15</v>
      </c>
      <c r="J14" s="31" t="s">
        <v>16</v>
      </c>
      <c r="K14" s="31" t="s">
        <v>36</v>
      </c>
      <c r="L14" s="31" t="s">
        <v>37</v>
      </c>
      <c r="M14" s="31" t="s">
        <v>38</v>
      </c>
      <c r="N14" s="30" t="s">
        <v>39</v>
      </c>
    </row>
    <row r="15" spans="1:19" x14ac:dyDescent="0.15">
      <c r="A15" s="24" t="str">
        <f t="shared" ref="A15:A21" ca="1" si="8">CONCATENATE(C15,B15)</f>
        <v>2B</v>
      </c>
      <c r="B15" s="24" t="s">
        <v>23</v>
      </c>
      <c r="C15" s="24">
        <f t="shared" ref="C15:C21" ca="1" si="9">IF(SUM($G$15:$G$21)=0,0,_xlfn.RANK.EQ(N15,$N$15:$N$21))</f>
        <v>2</v>
      </c>
      <c r="D15" s="25" t="str">
        <f>VLOOKUP($O15, Equipes!$A$3:$B$30, 2, FALSE)</f>
        <v>Teruel</v>
      </c>
      <c r="E15" s="32">
        <f t="shared" ref="E15:E21" si="10">IF(G15=0,0,(F15)/(G15*3))</f>
        <v>0.72222222222222221</v>
      </c>
      <c r="F15" s="24">
        <f t="shared" ref="F15:F21" si="11">(H15*3)+(I15*1)</f>
        <v>13</v>
      </c>
      <c r="G15" s="24">
        <f>COUNTIF(Jogos!$M$1:$N$93, $D15)</f>
        <v>6</v>
      </c>
      <c r="H15" s="24">
        <f>COUNTIF(Jogos!$O$1:$O$93, $D15)</f>
        <v>4</v>
      </c>
      <c r="I15" s="24">
        <f>COUNTIF(Jogos!$P$1:$Q$93, $D15)</f>
        <v>1</v>
      </c>
      <c r="J15" s="24">
        <f>COUNTIF(Jogos!$R$1:$R$93, $D15)</f>
        <v>1</v>
      </c>
      <c r="K15" s="24">
        <f ca="1">SUMIF(Jogos!$S$1:$T$93, $D15, Jogos!$T$1:$T$93)+SUMIF(Jogos!$U$1:$V$93, $D15, Jogos!$V$1:$V$93)</f>
        <v>11</v>
      </c>
      <c r="L15" s="24">
        <f ca="1">SUMIF(Jogos!$S$1:$V$93, $D15, Jogos!$V$1:$V$93)+SUMIF(Jogos!$U$1:$W$93, $D15, Jogos!$W$1:$W$93)</f>
        <v>5</v>
      </c>
      <c r="M15" s="24">
        <f t="shared" ref="M15:M21" ca="1" si="12">K15-L15</f>
        <v>6</v>
      </c>
      <c r="N15" s="24">
        <f t="shared" ref="N15:N21" ca="1" si="13">(E15*E$3+F15*F$3+H15*H$3+M15*M$3+K15*K$3)/(E$3/100)-ROW(N15)/E$3</f>
        <v>73.562833072222219</v>
      </c>
      <c r="O15" s="26">
        <v>8</v>
      </c>
      <c r="P15" s="26">
        <f t="shared" ref="P15:P21" ca="1" si="14">(E15*E$3+F15*F$3+H15*H$3+M15*M$3+K15*K$3)/(E$3/100)</f>
        <v>73.562833222222224</v>
      </c>
      <c r="Q15" s="26">
        <f t="shared" ref="Q15:Q21" ca="1" si="15">IF(SUM($G$15:$G$21)=0,0,_xlfn.RANK.EQ(P15,$P$15:$P$21))</f>
        <v>2</v>
      </c>
    </row>
    <row r="16" spans="1:19" x14ac:dyDescent="0.15">
      <c r="A16" s="24" t="str">
        <f t="shared" ca="1" si="8"/>
        <v>5B</v>
      </c>
      <c r="B16" s="24" t="s">
        <v>23</v>
      </c>
      <c r="C16" s="24">
        <f t="shared" ca="1" si="9"/>
        <v>5</v>
      </c>
      <c r="D16" s="25" t="str">
        <f>VLOOKUP($O16, Equipes!$A$3:$B$30, 2, FALSE)</f>
        <v>Tupinamba</v>
      </c>
      <c r="E16" s="32">
        <f t="shared" si="10"/>
        <v>0.27777777777777779</v>
      </c>
      <c r="F16" s="24">
        <f t="shared" si="11"/>
        <v>5</v>
      </c>
      <c r="G16" s="24">
        <f>COUNTIF(Jogos!$M$1:$N$93, $D16)</f>
        <v>6</v>
      </c>
      <c r="H16" s="24">
        <f>COUNTIF(Jogos!$O$1:$O$93, $D16)</f>
        <v>1</v>
      </c>
      <c r="I16" s="24">
        <f>COUNTIF(Jogos!$P$1:$Q$93, $D16)</f>
        <v>2</v>
      </c>
      <c r="J16" s="24">
        <f>COUNTIF(Jogos!$R$1:$R$93, $D16)</f>
        <v>3</v>
      </c>
      <c r="K16" s="24">
        <f ca="1">SUMIF(Jogos!$S$1:$T$93, $D16, Jogos!$T$1:$T$93)+SUMIF(Jogos!$U$1:$V$93, $D16, Jogos!$V$1:$V$93)</f>
        <v>3</v>
      </c>
      <c r="L16" s="24">
        <f ca="1">SUMIF(Jogos!$S$1:$V$93, $D16, Jogos!$V$1:$V$93)+SUMIF(Jogos!$U$1:$W$93, $D16, Jogos!$W$1:$W$93)</f>
        <v>10</v>
      </c>
      <c r="M16" s="24">
        <f t="shared" ca="1" si="12"/>
        <v>-7</v>
      </c>
      <c r="N16" s="24">
        <f t="shared" ca="1" si="13"/>
        <v>28.287080617777782</v>
      </c>
      <c r="O16" s="26">
        <v>9</v>
      </c>
      <c r="P16" s="26">
        <f t="shared" ca="1" si="14"/>
        <v>28.287080777777781</v>
      </c>
      <c r="Q16" s="26">
        <f t="shared" ca="1" si="15"/>
        <v>5</v>
      </c>
    </row>
    <row r="17" spans="1:17" x14ac:dyDescent="0.15">
      <c r="A17" s="24" t="str">
        <f t="shared" ca="1" si="8"/>
        <v>1B</v>
      </c>
      <c r="B17" s="24" t="s">
        <v>23</v>
      </c>
      <c r="C17" s="24">
        <f t="shared" ca="1" si="9"/>
        <v>1</v>
      </c>
      <c r="D17" s="25" t="str">
        <f>VLOOKUP($O17, Equipes!$A$3:$B$30, 2, FALSE)</f>
        <v>Ruas</v>
      </c>
      <c r="E17" s="32">
        <f t="shared" si="10"/>
        <v>1</v>
      </c>
      <c r="F17" s="24">
        <f t="shared" si="11"/>
        <v>18</v>
      </c>
      <c r="G17" s="24">
        <f>COUNTIF(Jogos!$M$1:$N$93, $D17)</f>
        <v>6</v>
      </c>
      <c r="H17" s="24">
        <f>COUNTIF(Jogos!$O$1:$O$93, $D17)</f>
        <v>6</v>
      </c>
      <c r="I17" s="24">
        <f>COUNTIF(Jogos!$P$1:$Q$93, $D17)</f>
        <v>0</v>
      </c>
      <c r="J17" s="24">
        <f>COUNTIF(Jogos!$R$1:$R$93, $D17)</f>
        <v>0</v>
      </c>
      <c r="K17" s="24">
        <f ca="1">SUMIF(Jogos!$S$1:$T$93, $D17, Jogos!$T$1:$T$93)+SUMIF(Jogos!$U$1:$V$93, $D17, Jogos!$V$1:$V$93)</f>
        <v>20</v>
      </c>
      <c r="L17" s="24">
        <f ca="1">SUMIF(Jogos!$S$1:$V$93, $D17, Jogos!$V$1:$V$93)+SUMIF(Jogos!$U$1:$W$93, $D17, Jogos!$W$1:$W$93)</f>
        <v>4</v>
      </c>
      <c r="M17" s="24">
        <f t="shared" ca="1" si="12"/>
        <v>16</v>
      </c>
      <c r="N17" s="24">
        <f t="shared" ca="1" si="13"/>
        <v>101.86161983</v>
      </c>
      <c r="O17" s="26">
        <v>10</v>
      </c>
      <c r="P17" s="26">
        <f t="shared" ca="1" si="14"/>
        <v>101.86162</v>
      </c>
      <c r="Q17" s="26">
        <f t="shared" ca="1" si="15"/>
        <v>1</v>
      </c>
    </row>
    <row r="18" spans="1:17" x14ac:dyDescent="0.15">
      <c r="A18" s="24" t="str">
        <f t="shared" ca="1" si="8"/>
        <v>4B</v>
      </c>
      <c r="B18" s="24" t="s">
        <v>23</v>
      </c>
      <c r="C18" s="24">
        <f t="shared" ca="1" si="9"/>
        <v>4</v>
      </c>
      <c r="D18" s="25" t="str">
        <f>VLOOKUP($O18, Equipes!$A$3:$B$30, 2, FALSE)</f>
        <v>Mario</v>
      </c>
      <c r="E18" s="32">
        <f t="shared" si="10"/>
        <v>0.33333333333333331</v>
      </c>
      <c r="F18" s="24">
        <f t="shared" si="11"/>
        <v>6</v>
      </c>
      <c r="G18" s="24">
        <f>COUNTIF(Jogos!$M$1:$N$93, $D18)</f>
        <v>6</v>
      </c>
      <c r="H18" s="24">
        <f>COUNTIF(Jogos!$O$1:$O$93, $D18)</f>
        <v>1</v>
      </c>
      <c r="I18" s="24">
        <f>COUNTIF(Jogos!$P$1:$Q$93, $D18)</f>
        <v>3</v>
      </c>
      <c r="J18" s="24">
        <f>COUNTIF(Jogos!$R$1:$R$93, $D18)</f>
        <v>2</v>
      </c>
      <c r="K18" s="24">
        <f ca="1">SUMIF(Jogos!$S$1:$T$93, $D18, Jogos!$T$1:$T$93)+SUMIF(Jogos!$U$1:$V$93, $D18, Jogos!$V$1:$V$93)</f>
        <v>4</v>
      </c>
      <c r="L18" s="24">
        <f ca="1">SUMIF(Jogos!$S$1:$V$93, $D18, Jogos!$V$1:$V$93)+SUMIF(Jogos!$U$1:$W$93, $D18, Jogos!$W$1:$W$93)</f>
        <v>10</v>
      </c>
      <c r="M18" s="24">
        <f t="shared" ca="1" si="12"/>
        <v>-6</v>
      </c>
      <c r="N18" s="24">
        <f t="shared" ca="1" si="13"/>
        <v>33.942737153333326</v>
      </c>
      <c r="O18" s="26">
        <v>11</v>
      </c>
      <c r="P18" s="26">
        <f t="shared" ca="1" si="14"/>
        <v>33.942737333333326</v>
      </c>
      <c r="Q18" s="26">
        <f t="shared" ca="1" si="15"/>
        <v>4</v>
      </c>
    </row>
    <row r="19" spans="1:17" x14ac:dyDescent="0.15">
      <c r="A19" s="24" t="str">
        <f t="shared" ca="1" si="8"/>
        <v>7B</v>
      </c>
      <c r="B19" s="24" t="s">
        <v>23</v>
      </c>
      <c r="C19" s="24">
        <f t="shared" ca="1" si="9"/>
        <v>7</v>
      </c>
      <c r="D19" s="25" t="str">
        <f>VLOOKUP($O19, Equipes!$A$3:$B$30, 2, FALSE)</f>
        <v>Reginaldo</v>
      </c>
      <c r="E19" s="32">
        <f t="shared" si="10"/>
        <v>0.16666666666666666</v>
      </c>
      <c r="F19" s="24">
        <f t="shared" si="11"/>
        <v>3</v>
      </c>
      <c r="G19" s="24">
        <f>COUNTIF(Jogos!$M$1:$N$93, $D19)</f>
        <v>6</v>
      </c>
      <c r="H19" s="24">
        <f>COUNTIF(Jogos!$O$1:$O$93, $D19)</f>
        <v>1</v>
      </c>
      <c r="I19" s="24">
        <f>COUNTIF(Jogos!$P$1:$Q$93, $D19)</f>
        <v>0</v>
      </c>
      <c r="J19" s="24">
        <f>COUNTIF(Jogos!$R$1:$R$93, $D19)</f>
        <v>5</v>
      </c>
      <c r="K19" s="24">
        <f ca="1">SUMIF(Jogos!$S$1:$T$93, $D19, Jogos!$T$1:$T$93)+SUMIF(Jogos!$U$1:$V$93, $D19, Jogos!$V$1:$V$93)</f>
        <v>6</v>
      </c>
      <c r="L19" s="24">
        <f ca="1">SUMIF(Jogos!$S$1:$V$93, $D19, Jogos!$V$1:$V$93)+SUMIF(Jogos!$U$1:$W$93, $D19, Jogos!$W$1:$W$93)</f>
        <v>10</v>
      </c>
      <c r="M19" s="24">
        <f t="shared" ca="1" si="12"/>
        <v>-4</v>
      </c>
      <c r="N19" s="24">
        <f t="shared" ca="1" si="13"/>
        <v>16.976272476666662</v>
      </c>
      <c r="O19" s="26">
        <v>12</v>
      </c>
      <c r="P19" s="26">
        <f t="shared" ca="1" si="14"/>
        <v>16.976272666666663</v>
      </c>
      <c r="Q19" s="26">
        <f t="shared" ca="1" si="15"/>
        <v>7</v>
      </c>
    </row>
    <row r="20" spans="1:17" x14ac:dyDescent="0.15">
      <c r="A20" s="24" t="str">
        <f t="shared" ca="1" si="8"/>
        <v>6B</v>
      </c>
      <c r="B20" s="24" t="s">
        <v>23</v>
      </c>
      <c r="C20" s="24">
        <f t="shared" ca="1" si="9"/>
        <v>6</v>
      </c>
      <c r="D20" s="25" t="str">
        <f>VLOOKUP($O20, Equipes!$A$3:$B$30, 2, FALSE)</f>
        <v>Léo Carioca</v>
      </c>
      <c r="E20" s="32">
        <f t="shared" si="10"/>
        <v>0.22222222222222221</v>
      </c>
      <c r="F20" s="24">
        <f t="shared" si="11"/>
        <v>4</v>
      </c>
      <c r="G20" s="24">
        <f>COUNTIF(Jogos!$M$1:$N$93, $D20)</f>
        <v>6</v>
      </c>
      <c r="H20" s="24">
        <f>COUNTIF(Jogos!$O$1:$O$93, $D20)</f>
        <v>1</v>
      </c>
      <c r="I20" s="24">
        <f>COUNTIF(Jogos!$P$1:$Q$93, $D20)</f>
        <v>1</v>
      </c>
      <c r="J20" s="24">
        <f>COUNTIF(Jogos!$R$1:$R$93, $D20)</f>
        <v>4</v>
      </c>
      <c r="K20" s="24">
        <f ca="1">SUMIF(Jogos!$S$1:$T$93, $D20, Jogos!$T$1:$T$93)+SUMIF(Jogos!$U$1:$V$93, $D20, Jogos!$V$1:$V$93)</f>
        <v>3</v>
      </c>
      <c r="L20" s="24">
        <f ca="1">SUMIF(Jogos!$S$1:$V$93, $D20, Jogos!$V$1:$V$93)+SUMIF(Jogos!$U$1:$W$93, $D20, Jogos!$W$1:$W$93)</f>
        <v>8</v>
      </c>
      <c r="M20" s="24">
        <f t="shared" ca="1" si="12"/>
        <v>-5</v>
      </c>
      <c r="N20" s="24">
        <f t="shared" ca="1" si="13"/>
        <v>22.63172502222222</v>
      </c>
      <c r="O20" s="26">
        <v>13</v>
      </c>
      <c r="P20" s="26">
        <f t="shared" ca="1" si="14"/>
        <v>22.631725222222219</v>
      </c>
      <c r="Q20" s="26">
        <f t="shared" ca="1" si="15"/>
        <v>6</v>
      </c>
    </row>
    <row r="21" spans="1:17" x14ac:dyDescent="0.15">
      <c r="A21" s="24" t="str">
        <f t="shared" ca="1" si="8"/>
        <v>3B</v>
      </c>
      <c r="B21" s="24" t="s">
        <v>23</v>
      </c>
      <c r="C21" s="24">
        <f t="shared" ca="1" si="9"/>
        <v>3</v>
      </c>
      <c r="D21" s="25" t="str">
        <f>VLOOKUP($O21, Equipes!$A$3:$B$30, 2, FALSE)</f>
        <v>Elsio</v>
      </c>
      <c r="E21" s="32">
        <f t="shared" si="10"/>
        <v>0.5</v>
      </c>
      <c r="F21" s="24">
        <f t="shared" si="11"/>
        <v>9</v>
      </c>
      <c r="G21" s="24">
        <f>COUNTIF(Jogos!$M$1:$N$93, $D21)</f>
        <v>6</v>
      </c>
      <c r="H21" s="24">
        <f>COUNTIF(Jogos!$O$1:$O$93, $D21)</f>
        <v>2</v>
      </c>
      <c r="I21" s="24">
        <f>COUNTIF(Jogos!$P$1:$Q$93, $D21)</f>
        <v>3</v>
      </c>
      <c r="J21" s="24">
        <f>COUNTIF(Jogos!$R$1:$R$93, $D21)</f>
        <v>1</v>
      </c>
      <c r="K21" s="24">
        <f ca="1">SUMIF(Jogos!$S$1:$T$93, $D21, Jogos!$T$1:$T$93)+SUMIF(Jogos!$U$1:$V$93, $D21, Jogos!$V$1:$V$93)</f>
        <v>8</v>
      </c>
      <c r="L21" s="24">
        <f ca="1">SUMIF(Jogos!$S$1:$V$93, $D21, Jogos!$V$1:$V$93)+SUMIF(Jogos!$U$1:$W$93, $D21, Jogos!$W$1:$W$93)</f>
        <v>8</v>
      </c>
      <c r="M21" s="24">
        <f t="shared" ca="1" si="12"/>
        <v>0</v>
      </c>
      <c r="N21" s="24">
        <f t="shared" ca="1" si="13"/>
        <v>50.92000779</v>
      </c>
      <c r="O21" s="26">
        <v>14</v>
      </c>
      <c r="P21" s="26">
        <f t="shared" ca="1" si="14"/>
        <v>50.920008000000003</v>
      </c>
      <c r="Q21" s="26">
        <f t="shared" ca="1" si="15"/>
        <v>3</v>
      </c>
    </row>
    <row r="23" spans="1:17" ht="25.5" x14ac:dyDescent="0.5">
      <c r="A23" s="24" t="s">
        <v>32</v>
      </c>
      <c r="B23" s="24" t="s">
        <v>24</v>
      </c>
      <c r="C23" s="28" t="s">
        <v>24</v>
      </c>
      <c r="D23" s="29" t="s">
        <v>33</v>
      </c>
      <c r="E23" s="31" t="s">
        <v>34</v>
      </c>
      <c r="F23" s="31" t="s">
        <v>35</v>
      </c>
      <c r="G23" s="31" t="s">
        <v>13</v>
      </c>
      <c r="H23" s="31" t="s">
        <v>14</v>
      </c>
      <c r="I23" s="31" t="s">
        <v>15</v>
      </c>
      <c r="J23" s="31" t="s">
        <v>16</v>
      </c>
      <c r="K23" s="31" t="s">
        <v>36</v>
      </c>
      <c r="L23" s="31" t="s">
        <v>37</v>
      </c>
      <c r="M23" s="31" t="s">
        <v>38</v>
      </c>
      <c r="N23" s="30" t="s">
        <v>39</v>
      </c>
    </row>
    <row r="24" spans="1:17" x14ac:dyDescent="0.15">
      <c r="A24" s="24" t="str">
        <f t="shared" ref="A24:A30" ca="1" si="16">CONCATENATE(C24,B24)</f>
        <v>1C</v>
      </c>
      <c r="B24" s="24" t="s">
        <v>24</v>
      </c>
      <c r="C24" s="24">
        <f t="shared" ref="C24:C30" ca="1" si="17">IF(SUM($G$24:$G$30)=0,0,_xlfn.RANK.EQ(N24,$N$24:$N$30))</f>
        <v>1</v>
      </c>
      <c r="D24" s="25" t="str">
        <f>VLOOKUP($O24, Equipes!$A$3:$B$30, 2, FALSE)</f>
        <v>Vinicius Rolim</v>
      </c>
      <c r="E24" s="32">
        <f t="shared" ref="E24:E30" si="18">IF(G24=0,0,(F24)/(G24*3))</f>
        <v>0.77777777777777779</v>
      </c>
      <c r="F24" s="24">
        <f t="shared" ref="F24:F30" si="19">(H24*3)+(I24*1)</f>
        <v>14</v>
      </c>
      <c r="G24" s="24">
        <f>COUNTIF(Jogos!$M$1:$N$93, $D24)</f>
        <v>6</v>
      </c>
      <c r="H24" s="24">
        <f>COUNTIF(Jogos!$O$1:$O$93, $D24)</f>
        <v>4</v>
      </c>
      <c r="I24" s="24">
        <f>COUNTIF(Jogos!$P$1:$Q$93, $D24)</f>
        <v>2</v>
      </c>
      <c r="J24" s="24">
        <f>COUNTIF(Jogos!$R$1:$R$93, $D24)</f>
        <v>0</v>
      </c>
      <c r="K24" s="24">
        <f ca="1">SUMIF(Jogos!$S$1:$T$93, $D24, Jogos!$T$1:$T$93)+SUMIF(Jogos!$U$1:$V$93, $D24, Jogos!$V$1:$V$93)</f>
        <v>18</v>
      </c>
      <c r="L24" s="24">
        <f ca="1">SUMIF(Jogos!$S$1:$V$93, $D24, Jogos!$V$1:$V$93)+SUMIF(Jogos!$U$1:$W$93, $D24, Jogos!$W$1:$W$93)</f>
        <v>9</v>
      </c>
      <c r="M24" s="24">
        <f t="shared" ref="M24:M30" ca="1" si="20">K24-L24</f>
        <v>9</v>
      </c>
      <c r="N24" s="24">
        <f t="shared" ref="N24:N30" ca="1" si="21">(E24*E$3+F24*F$3+H24*H$3+M24*M$3+K24*K$3)/(E$3/100)-ROW(N24)/E$3</f>
        <v>79.218695537777776</v>
      </c>
      <c r="O24" s="26">
        <v>15</v>
      </c>
      <c r="P24" s="26">
        <f t="shared" ref="P24:P30" ca="1" si="22">(E24*E$3+F24*F$3+H24*H$3+M24*M$3+K24*K$3)/(E$3/100)</f>
        <v>79.218695777777782</v>
      </c>
      <c r="Q24" s="26">
        <f t="shared" ref="Q24:Q30" ca="1" si="23">IF(SUM($G$24:$G$30)=0,0,_xlfn.RANK.EQ(P24,$P$24:$P$30))</f>
        <v>1</v>
      </c>
    </row>
    <row r="25" spans="1:17" x14ac:dyDescent="0.15">
      <c r="A25" s="24" t="str">
        <f t="shared" ca="1" si="16"/>
        <v>6C</v>
      </c>
      <c r="B25" s="24" t="s">
        <v>24</v>
      </c>
      <c r="C25" s="24">
        <f t="shared" ca="1" si="17"/>
        <v>6</v>
      </c>
      <c r="D25" s="25" t="str">
        <f>VLOOKUP($O25, Equipes!$A$3:$B$30, 2, FALSE)</f>
        <v>Professor</v>
      </c>
      <c r="E25" s="32">
        <f t="shared" si="18"/>
        <v>0.3888888888888889</v>
      </c>
      <c r="F25" s="24">
        <f t="shared" si="19"/>
        <v>7</v>
      </c>
      <c r="G25" s="24">
        <f>COUNTIF(Jogos!$M$1:$N$93, $D25)</f>
        <v>6</v>
      </c>
      <c r="H25" s="24">
        <f>COUNTIF(Jogos!$O$1:$O$93, $D25)</f>
        <v>2</v>
      </c>
      <c r="I25" s="24">
        <f>COUNTIF(Jogos!$P$1:$Q$93, $D25)</f>
        <v>1</v>
      </c>
      <c r="J25" s="24">
        <f>COUNTIF(Jogos!$R$1:$R$93, $D25)</f>
        <v>3</v>
      </c>
      <c r="K25" s="24">
        <f ca="1">SUMIF(Jogos!$S$1:$T$93, $D25, Jogos!$T$1:$T$93)+SUMIF(Jogos!$U$1:$V$93, $D25, Jogos!$V$1:$V$93)</f>
        <v>4</v>
      </c>
      <c r="L25" s="24">
        <f ca="1">SUMIF(Jogos!$S$1:$V$93, $D25, Jogos!$V$1:$V$93)+SUMIF(Jogos!$U$1:$W$93, $D25, Jogos!$W$1:$W$93)</f>
        <v>9</v>
      </c>
      <c r="M25" s="24">
        <f t="shared" ca="1" si="20"/>
        <v>-5</v>
      </c>
      <c r="N25" s="24">
        <f t="shared" ca="1" si="21"/>
        <v>39.608392638888887</v>
      </c>
      <c r="O25" s="26">
        <v>16</v>
      </c>
      <c r="P25" s="26">
        <f t="shared" ca="1" si="22"/>
        <v>39.608392888888886</v>
      </c>
      <c r="Q25" s="26">
        <f t="shared" ca="1" si="23"/>
        <v>6</v>
      </c>
    </row>
    <row r="26" spans="1:17" x14ac:dyDescent="0.15">
      <c r="A26" s="24" t="str">
        <f t="shared" ca="1" si="16"/>
        <v>4C</v>
      </c>
      <c r="B26" s="24" t="s">
        <v>24</v>
      </c>
      <c r="C26" s="24">
        <f t="shared" ca="1" si="17"/>
        <v>4</v>
      </c>
      <c r="D26" s="25" t="str">
        <f>VLOOKUP($O26, Equipes!$A$3:$B$30, 2, FALSE)</f>
        <v>Diogo</v>
      </c>
      <c r="E26" s="32">
        <f t="shared" si="18"/>
        <v>0.3888888888888889</v>
      </c>
      <c r="F26" s="24">
        <f t="shared" si="19"/>
        <v>7</v>
      </c>
      <c r="G26" s="24">
        <f>COUNTIF(Jogos!$M$1:$N$93, $D26)</f>
        <v>6</v>
      </c>
      <c r="H26" s="24">
        <f>COUNTIF(Jogos!$O$1:$O$93, $D26)</f>
        <v>2</v>
      </c>
      <c r="I26" s="24">
        <f>COUNTIF(Jogos!$P$1:$Q$93, $D26)</f>
        <v>1</v>
      </c>
      <c r="J26" s="24">
        <f>COUNTIF(Jogos!$R$1:$R$93, $D26)</f>
        <v>3</v>
      </c>
      <c r="K26" s="24">
        <f ca="1">SUMIF(Jogos!$S$1:$T$93, $D26, Jogos!$T$1:$T$93)+SUMIF(Jogos!$U$1:$V$93, $D26, Jogos!$V$1:$V$93)</f>
        <v>16</v>
      </c>
      <c r="L26" s="24">
        <f ca="1">SUMIF(Jogos!$S$1:$V$93, $D26, Jogos!$V$1:$V$93)+SUMIF(Jogos!$U$1:$W$93, $D26, Jogos!$W$1:$W$93)</f>
        <v>18</v>
      </c>
      <c r="M26" s="24">
        <f t="shared" ca="1" si="20"/>
        <v>-2</v>
      </c>
      <c r="N26" s="24">
        <f t="shared" ca="1" si="21"/>
        <v>39.608704628888887</v>
      </c>
      <c r="O26" s="26">
        <v>17</v>
      </c>
      <c r="P26" s="26">
        <f t="shared" ca="1" si="22"/>
        <v>39.608704888888887</v>
      </c>
      <c r="Q26" s="26">
        <f t="shared" ca="1" si="23"/>
        <v>4</v>
      </c>
    </row>
    <row r="27" spans="1:17" x14ac:dyDescent="0.15">
      <c r="A27" s="24" t="str">
        <f t="shared" ca="1" si="16"/>
        <v>7C</v>
      </c>
      <c r="B27" s="24" t="s">
        <v>24</v>
      </c>
      <c r="C27" s="24">
        <f t="shared" ca="1" si="17"/>
        <v>7</v>
      </c>
      <c r="D27" s="25" t="str">
        <f>VLOOKUP($O27, Equipes!$A$3:$B$30, 2, FALSE)</f>
        <v>Felix</v>
      </c>
      <c r="E27" s="32">
        <f t="shared" si="18"/>
        <v>5.5555555555555552E-2</v>
      </c>
      <c r="F27" s="24">
        <f t="shared" si="19"/>
        <v>1</v>
      </c>
      <c r="G27" s="24">
        <f>COUNTIF(Jogos!$M$1:$N$93, $D27)</f>
        <v>6</v>
      </c>
      <c r="H27" s="24">
        <f>COUNTIF(Jogos!$O$1:$O$93, $D27)</f>
        <v>0</v>
      </c>
      <c r="I27" s="24">
        <f>COUNTIF(Jogos!$P$1:$Q$93, $D27)</f>
        <v>1</v>
      </c>
      <c r="J27" s="24">
        <f>COUNTIF(Jogos!$R$1:$R$93, $D27)</f>
        <v>5</v>
      </c>
      <c r="K27" s="24">
        <f ca="1">SUMIF(Jogos!$S$1:$T$93, $D27, Jogos!$T$1:$T$93)+SUMIF(Jogos!$U$1:$V$93, $D27, Jogos!$V$1:$V$93)</f>
        <v>4</v>
      </c>
      <c r="L27" s="24">
        <f ca="1">SUMIF(Jogos!$S$1:$V$93, $D27, Jogos!$V$1:$V$93)+SUMIF(Jogos!$U$1:$W$93, $D27, Jogos!$W$1:$W$93)</f>
        <v>11</v>
      </c>
      <c r="M27" s="24">
        <f t="shared" ca="1" si="20"/>
        <v>-7</v>
      </c>
      <c r="N27" s="24">
        <f t="shared" ca="1" si="21"/>
        <v>5.6548592855555553</v>
      </c>
      <c r="O27" s="26">
        <v>18</v>
      </c>
      <c r="P27" s="26">
        <f t="shared" ca="1" si="22"/>
        <v>5.6548595555555554</v>
      </c>
      <c r="Q27" s="26">
        <f t="shared" ca="1" si="23"/>
        <v>7</v>
      </c>
    </row>
    <row r="28" spans="1:17" x14ac:dyDescent="0.15">
      <c r="A28" s="24" t="str">
        <f t="shared" ca="1" si="16"/>
        <v>3C</v>
      </c>
      <c r="B28" s="24" t="s">
        <v>24</v>
      </c>
      <c r="C28" s="24">
        <f t="shared" ca="1" si="17"/>
        <v>3</v>
      </c>
      <c r="D28" s="25" t="str">
        <f>VLOOKUP($O28, Equipes!$A$3:$B$30, 2, FALSE)</f>
        <v>Rodrigo Moro</v>
      </c>
      <c r="E28" s="32">
        <f t="shared" si="18"/>
        <v>0.55555555555555558</v>
      </c>
      <c r="F28" s="24">
        <f t="shared" si="19"/>
        <v>10</v>
      </c>
      <c r="G28" s="24">
        <f>COUNTIF(Jogos!$M$1:$N$93, $D28)</f>
        <v>6</v>
      </c>
      <c r="H28" s="24">
        <f>COUNTIF(Jogos!$O$1:$O$93, $D28)</f>
        <v>3</v>
      </c>
      <c r="I28" s="24">
        <f>COUNTIF(Jogos!$P$1:$Q$93, $D28)</f>
        <v>1</v>
      </c>
      <c r="J28" s="24">
        <f>COUNTIF(Jogos!$R$1:$R$93, $D28)</f>
        <v>2</v>
      </c>
      <c r="K28" s="24">
        <f ca="1">SUMIF(Jogos!$S$1:$T$93, $D28, Jogos!$T$1:$T$93)+SUMIF(Jogos!$U$1:$V$93, $D28, Jogos!$V$1:$V$93)</f>
        <v>14</v>
      </c>
      <c r="L28" s="24">
        <f ca="1">SUMIF(Jogos!$S$1:$V$93, $D28, Jogos!$V$1:$V$93)+SUMIF(Jogos!$U$1:$W$93, $D28, Jogos!$W$1:$W$93)</f>
        <v>11</v>
      </c>
      <c r="M28" s="24">
        <f t="shared" ca="1" si="20"/>
        <v>3</v>
      </c>
      <c r="N28" s="24">
        <f t="shared" ca="1" si="21"/>
        <v>56.585869275555559</v>
      </c>
      <c r="O28" s="26">
        <v>19</v>
      </c>
      <c r="P28" s="26">
        <f t="shared" ca="1" si="22"/>
        <v>56.585869555555561</v>
      </c>
      <c r="Q28" s="26">
        <f t="shared" ca="1" si="23"/>
        <v>3</v>
      </c>
    </row>
    <row r="29" spans="1:17" x14ac:dyDescent="0.15">
      <c r="A29" s="24" t="str">
        <f t="shared" ca="1" si="16"/>
        <v>5C</v>
      </c>
      <c r="B29" s="24" t="s">
        <v>24</v>
      </c>
      <c r="C29" s="24">
        <f t="shared" ca="1" si="17"/>
        <v>5</v>
      </c>
      <c r="D29" s="25" t="str">
        <f>VLOOKUP($O29, Equipes!$A$3:$B$30, 2, FALSE)</f>
        <v>Erismar</v>
      </c>
      <c r="E29" s="32">
        <f t="shared" si="18"/>
        <v>0.3888888888888889</v>
      </c>
      <c r="F29" s="24">
        <f t="shared" si="19"/>
        <v>7</v>
      </c>
      <c r="G29" s="24">
        <f>COUNTIF(Jogos!$M$1:$N$93, $D29)</f>
        <v>6</v>
      </c>
      <c r="H29" s="24">
        <f>COUNTIF(Jogos!$O$1:$O$93, $D29)</f>
        <v>2</v>
      </c>
      <c r="I29" s="24">
        <f>COUNTIF(Jogos!$P$1:$Q$93, $D29)</f>
        <v>1</v>
      </c>
      <c r="J29" s="24">
        <f>COUNTIF(Jogos!$R$1:$R$93, $D29)</f>
        <v>3</v>
      </c>
      <c r="K29" s="24">
        <f ca="1">SUMIF(Jogos!$S$1:$T$93, $D29, Jogos!$T$1:$T$93)+SUMIF(Jogos!$U$1:$V$93, $D29, Jogos!$V$1:$V$93)</f>
        <v>7</v>
      </c>
      <c r="L29" s="24">
        <f ca="1">SUMIF(Jogos!$S$1:$V$93, $D29, Jogos!$V$1:$V$93)+SUMIF(Jogos!$U$1:$W$93, $D29, Jogos!$W$1:$W$93)</f>
        <v>9</v>
      </c>
      <c r="M29" s="24">
        <f t="shared" ca="1" si="20"/>
        <v>-2</v>
      </c>
      <c r="N29" s="24">
        <f t="shared" ca="1" si="21"/>
        <v>39.608695598888886</v>
      </c>
      <c r="O29" s="26">
        <v>20</v>
      </c>
      <c r="P29" s="26">
        <f t="shared" ca="1" si="22"/>
        <v>39.608695888888889</v>
      </c>
      <c r="Q29" s="26">
        <f t="shared" ca="1" si="23"/>
        <v>5</v>
      </c>
    </row>
    <row r="30" spans="1:17" x14ac:dyDescent="0.15">
      <c r="A30" s="24" t="str">
        <f t="shared" ca="1" si="16"/>
        <v>2C</v>
      </c>
      <c r="B30" s="24" t="s">
        <v>24</v>
      </c>
      <c r="C30" s="24">
        <f t="shared" ca="1" si="17"/>
        <v>2</v>
      </c>
      <c r="D30" s="25" t="str">
        <f>VLOOKUP($O30, Equipes!$A$3:$B$30, 2, FALSE)</f>
        <v xml:space="preserve">Marcão </v>
      </c>
      <c r="E30" s="32">
        <f t="shared" si="18"/>
        <v>0.66666666666666663</v>
      </c>
      <c r="F30" s="24">
        <f t="shared" si="19"/>
        <v>12</v>
      </c>
      <c r="G30" s="24">
        <f>COUNTIF(Jogos!$M$1:$N$93, $D30)</f>
        <v>6</v>
      </c>
      <c r="H30" s="24">
        <f>COUNTIF(Jogos!$O$1:$O$93, $D30)</f>
        <v>3</v>
      </c>
      <c r="I30" s="24">
        <f>COUNTIF(Jogos!$P$1:$Q$93, $D30)</f>
        <v>3</v>
      </c>
      <c r="J30" s="24">
        <f>COUNTIF(Jogos!$R$1:$R$93, $D30)</f>
        <v>0</v>
      </c>
      <c r="K30" s="24">
        <f ca="1">SUMIF(Jogos!$S$1:$T$93, $D30, Jogos!$T$1:$T$93)+SUMIF(Jogos!$U$1:$V$93, $D30, Jogos!$V$1:$V$93)</f>
        <v>15</v>
      </c>
      <c r="L30" s="24">
        <f ca="1">SUMIF(Jogos!$S$1:$V$93, $D30, Jogos!$V$1:$V$93)+SUMIF(Jogos!$U$1:$W$93, $D30, Jogos!$W$1:$W$93)</f>
        <v>11</v>
      </c>
      <c r="M30" s="24">
        <f t="shared" ca="1" si="20"/>
        <v>4</v>
      </c>
      <c r="N30" s="24">
        <f t="shared" ca="1" si="21"/>
        <v>67.897081366666654</v>
      </c>
      <c r="O30" s="26">
        <v>21</v>
      </c>
      <c r="P30" s="26">
        <f t="shared" ca="1" si="22"/>
        <v>67.897081666666651</v>
      </c>
      <c r="Q30" s="26">
        <f t="shared" ca="1" si="23"/>
        <v>2</v>
      </c>
    </row>
    <row r="32" spans="1:17" ht="25.5" x14ac:dyDescent="0.5">
      <c r="A32" s="24" t="s">
        <v>32</v>
      </c>
      <c r="B32" s="24" t="s">
        <v>16</v>
      </c>
      <c r="C32" s="28" t="s">
        <v>16</v>
      </c>
      <c r="D32" s="29" t="s">
        <v>33</v>
      </c>
      <c r="E32" s="31" t="s">
        <v>34</v>
      </c>
      <c r="F32" s="31" t="s">
        <v>35</v>
      </c>
      <c r="G32" s="31" t="s">
        <v>13</v>
      </c>
      <c r="H32" s="31" t="s">
        <v>14</v>
      </c>
      <c r="I32" s="31" t="s">
        <v>15</v>
      </c>
      <c r="J32" s="31" t="s">
        <v>16</v>
      </c>
      <c r="K32" s="31" t="s">
        <v>36</v>
      </c>
      <c r="L32" s="31" t="s">
        <v>37</v>
      </c>
      <c r="M32" s="31" t="s">
        <v>38</v>
      </c>
      <c r="N32" s="30" t="s">
        <v>39</v>
      </c>
    </row>
    <row r="33" spans="1:17" x14ac:dyDescent="0.15">
      <c r="A33" s="24" t="str">
        <f t="shared" ref="A33:A39" ca="1" si="24">CONCATENATE(C33,B33)</f>
        <v>2D</v>
      </c>
      <c r="B33" s="24" t="s">
        <v>16</v>
      </c>
      <c r="C33" s="24">
        <f t="shared" ref="C33:C39" ca="1" si="25">IF(SUM($G$33:$G$39)=0,0,_xlfn.RANK.EQ(N33,$N$33:$N$39))</f>
        <v>2</v>
      </c>
      <c r="D33" s="25" t="str">
        <f>VLOOKUP($O33, Equipes!$A$3:$B$30, 2, FALSE)</f>
        <v>Galdeano</v>
      </c>
      <c r="E33" s="32">
        <f t="shared" ref="E33:E39" si="26">IF(G33=0,0,(F33)/(G33*3))</f>
        <v>0.66666666666666663</v>
      </c>
      <c r="F33" s="24">
        <f t="shared" ref="F33:F39" si="27">(H33*3)+(I33*1)</f>
        <v>12</v>
      </c>
      <c r="G33" s="24">
        <f>COUNTIF(Jogos!$M$1:$N$93, $D33)</f>
        <v>6</v>
      </c>
      <c r="H33" s="24">
        <f>COUNTIF(Jogos!$O$1:$O$93, $D33)</f>
        <v>4</v>
      </c>
      <c r="I33" s="24">
        <f>COUNTIF(Jogos!$P$1:$Q$93, $D33)</f>
        <v>0</v>
      </c>
      <c r="J33" s="24">
        <f>COUNTIF(Jogos!$R$1:$R$93, $D33)</f>
        <v>2</v>
      </c>
      <c r="K33" s="24">
        <f ca="1">SUMIF(Jogos!$S$1:$T$93, $D33, Jogos!$T$1:$T$93)+SUMIF(Jogos!$U$1:$V$93, $D33, Jogos!$V$1:$V$93)</f>
        <v>14</v>
      </c>
      <c r="L33" s="24">
        <f ca="1">SUMIF(Jogos!$S$1:$V$93, $D33, Jogos!$V$1:$V$93)+SUMIF(Jogos!$U$1:$W$93, $D33, Jogos!$W$1:$W$93)</f>
        <v>8</v>
      </c>
      <c r="M33" s="24">
        <f t="shared" ref="M33:M39" ca="1" si="28">K33-L33</f>
        <v>6</v>
      </c>
      <c r="N33" s="24">
        <f t="shared" ref="N33:N39" ca="1" si="29">(E33*E$3+F33*F$3+H33*H$3+M33*M$3+K33*K$3)/(E$3/100)-ROW(N33)/E$3</f>
        <v>67.907280336666645</v>
      </c>
      <c r="O33" s="26">
        <v>22</v>
      </c>
      <c r="P33" s="26">
        <f t="shared" ref="P33:P39" ca="1" si="30">(E33*E$3+F33*F$3+H33*H$3+M33*M$3+K33*K$3)/(E$3/100)</f>
        <v>67.907280666666651</v>
      </c>
      <c r="Q33" s="26">
        <f t="shared" ref="Q33:Q39" ca="1" si="31">IF(SUM($G$33:$G$39)=0,0,_xlfn.RANK.EQ(P33,$P$33:$P$39))</f>
        <v>2</v>
      </c>
    </row>
    <row r="34" spans="1:17" x14ac:dyDescent="0.15">
      <c r="A34" s="24" t="str">
        <f t="shared" ca="1" si="24"/>
        <v>5D</v>
      </c>
      <c r="B34" s="24" t="s">
        <v>16</v>
      </c>
      <c r="C34" s="24">
        <f t="shared" ca="1" si="25"/>
        <v>5</v>
      </c>
      <c r="D34" s="25" t="str">
        <f>VLOOKUP($O34, Equipes!$A$3:$B$30, 2, FALSE)</f>
        <v>Luiz Moreira</v>
      </c>
      <c r="E34" s="32">
        <f t="shared" si="26"/>
        <v>0.44444444444444442</v>
      </c>
      <c r="F34" s="24">
        <f t="shared" si="27"/>
        <v>8</v>
      </c>
      <c r="G34" s="24">
        <f>COUNTIF(Jogos!$M$1:$N$93, $D34)</f>
        <v>6</v>
      </c>
      <c r="H34" s="24">
        <f>COUNTIF(Jogos!$O$1:$O$93, $D34)</f>
        <v>2</v>
      </c>
      <c r="I34" s="24">
        <f>COUNTIF(Jogos!$P$1:$Q$93, $D34)</f>
        <v>2</v>
      </c>
      <c r="J34" s="24">
        <f>COUNTIF(Jogos!$R$1:$R$93, $D34)</f>
        <v>2</v>
      </c>
      <c r="K34" s="24">
        <f ca="1">SUMIF(Jogos!$S$1:$T$93, $D34, Jogos!$T$1:$T$93)+SUMIF(Jogos!$U$1:$V$93, $D34, Jogos!$V$1:$V$93)</f>
        <v>3</v>
      </c>
      <c r="L34" s="24">
        <f ca="1">SUMIF(Jogos!$S$1:$V$93, $D34, Jogos!$V$1:$V$93)+SUMIF(Jogos!$U$1:$W$93, $D34, Jogos!$W$1:$W$93)</f>
        <v>7</v>
      </c>
      <c r="M34" s="24">
        <f t="shared" ca="1" si="28"/>
        <v>-4</v>
      </c>
      <c r="N34" s="24">
        <f t="shared" ca="1" si="29"/>
        <v>45.264047104444444</v>
      </c>
      <c r="O34" s="26">
        <v>23</v>
      </c>
      <c r="P34" s="26">
        <f t="shared" ca="1" si="30"/>
        <v>45.264047444444444</v>
      </c>
      <c r="Q34" s="26">
        <f t="shared" ca="1" si="31"/>
        <v>5</v>
      </c>
    </row>
    <row r="35" spans="1:17" x14ac:dyDescent="0.15">
      <c r="A35" s="24" t="str">
        <f t="shared" ca="1" si="24"/>
        <v>1D</v>
      </c>
      <c r="B35" s="24" t="s">
        <v>16</v>
      </c>
      <c r="C35" s="24">
        <f t="shared" ca="1" si="25"/>
        <v>1</v>
      </c>
      <c r="D35" s="25" t="str">
        <f>VLOOKUP($O35, Equipes!$A$3:$B$30, 2, FALSE)</f>
        <v>Tabajara</v>
      </c>
      <c r="E35" s="32">
        <f t="shared" si="26"/>
        <v>0.88888888888888884</v>
      </c>
      <c r="F35" s="24">
        <f t="shared" si="27"/>
        <v>16</v>
      </c>
      <c r="G35" s="24">
        <f>COUNTIF(Jogos!$M$1:$N$93, $D35)</f>
        <v>6</v>
      </c>
      <c r="H35" s="24">
        <f>COUNTIF(Jogos!$O$1:$O$93, $D35)</f>
        <v>5</v>
      </c>
      <c r="I35" s="24">
        <f>COUNTIF(Jogos!$P$1:$Q$93, $D35)</f>
        <v>1</v>
      </c>
      <c r="J35" s="24">
        <f>COUNTIF(Jogos!$R$1:$R$93, $D35)</f>
        <v>0</v>
      </c>
      <c r="K35" s="24">
        <f ca="1">SUMIF(Jogos!$S$1:$T$93, $D35, Jogos!$T$1:$T$93)+SUMIF(Jogos!$U$1:$V$93, $D35, Jogos!$V$1:$V$93)</f>
        <v>15</v>
      </c>
      <c r="L35" s="24">
        <f ca="1">SUMIF(Jogos!$S$1:$V$93, $D35, Jogos!$V$1:$V$93)+SUMIF(Jogos!$U$1:$W$93, $D35, Jogos!$W$1:$W$93)</f>
        <v>2</v>
      </c>
      <c r="M35" s="24">
        <f t="shared" ca="1" si="28"/>
        <v>13</v>
      </c>
      <c r="N35" s="24">
        <f t="shared" ca="1" si="29"/>
        <v>90.540203538888889</v>
      </c>
      <c r="O35" s="26">
        <v>24</v>
      </c>
      <c r="P35" s="26">
        <f t="shared" ca="1" si="30"/>
        <v>90.540203888888882</v>
      </c>
      <c r="Q35" s="26">
        <f t="shared" ca="1" si="31"/>
        <v>1</v>
      </c>
    </row>
    <row r="36" spans="1:17" x14ac:dyDescent="0.15">
      <c r="A36" s="24" t="str">
        <f t="shared" ca="1" si="24"/>
        <v>4D</v>
      </c>
      <c r="B36" s="24" t="s">
        <v>16</v>
      </c>
      <c r="C36" s="24">
        <f t="shared" ca="1" si="25"/>
        <v>4</v>
      </c>
      <c r="D36" s="25" t="str">
        <f>VLOOKUP($O36, Equipes!$A$3:$B$30, 2, FALSE)</f>
        <v>Rafael Balieiro</v>
      </c>
      <c r="E36" s="32">
        <f t="shared" si="26"/>
        <v>0.44444444444444442</v>
      </c>
      <c r="F36" s="24">
        <f t="shared" si="27"/>
        <v>8</v>
      </c>
      <c r="G36" s="24">
        <f>COUNTIF(Jogos!$M$1:$N$93, $D36)</f>
        <v>6</v>
      </c>
      <c r="H36" s="24">
        <f>COUNTIF(Jogos!$O$1:$O$93, $D36)</f>
        <v>2</v>
      </c>
      <c r="I36" s="24">
        <f>COUNTIF(Jogos!$P$1:$Q$93, $D36)</f>
        <v>2</v>
      </c>
      <c r="J36" s="24">
        <f>COUNTIF(Jogos!$R$1:$R$93, $D36)</f>
        <v>2</v>
      </c>
      <c r="K36" s="24">
        <f ca="1">SUMIF(Jogos!$S$1:$T$93, $D36, Jogos!$T$1:$T$93)+SUMIF(Jogos!$U$1:$V$93, $D36, Jogos!$V$1:$V$93)</f>
        <v>6</v>
      </c>
      <c r="L36" s="24">
        <f ca="1">SUMIF(Jogos!$S$1:$V$93, $D36, Jogos!$V$1:$V$93)+SUMIF(Jogos!$U$1:$W$93, $D36, Jogos!$W$1:$W$93)</f>
        <v>9</v>
      </c>
      <c r="M36" s="24">
        <f t="shared" ca="1" si="28"/>
        <v>-3</v>
      </c>
      <c r="N36" s="24">
        <f t="shared" ca="1" si="29"/>
        <v>45.264150084444438</v>
      </c>
      <c r="O36" s="26">
        <v>25</v>
      </c>
      <c r="P36" s="26">
        <f t="shared" ca="1" si="30"/>
        <v>45.264150444444439</v>
      </c>
      <c r="Q36" s="26">
        <f t="shared" ca="1" si="31"/>
        <v>4</v>
      </c>
    </row>
    <row r="37" spans="1:17" x14ac:dyDescent="0.15">
      <c r="A37" s="24" t="str">
        <f t="shared" ca="1" si="24"/>
        <v>7D</v>
      </c>
      <c r="B37" s="24" t="s">
        <v>16</v>
      </c>
      <c r="C37" s="24">
        <f t="shared" ca="1" si="25"/>
        <v>7</v>
      </c>
      <c r="D37" s="25" t="str">
        <f>VLOOKUP($O37, Equipes!$A$3:$B$30, 2, FALSE)</f>
        <v>Coelho</v>
      </c>
      <c r="E37" s="32">
        <f t="shared" si="26"/>
        <v>5.5555555555555552E-2</v>
      </c>
      <c r="F37" s="24">
        <f t="shared" si="27"/>
        <v>1</v>
      </c>
      <c r="G37" s="24">
        <f>COUNTIF(Jogos!$M$1:$N$93, $D37)</f>
        <v>6</v>
      </c>
      <c r="H37" s="24">
        <f>COUNTIF(Jogos!$O$1:$O$93, $D37)</f>
        <v>0</v>
      </c>
      <c r="I37" s="24">
        <f>COUNTIF(Jogos!$P$1:$Q$93, $D37)</f>
        <v>1</v>
      </c>
      <c r="J37" s="24">
        <f>COUNTIF(Jogos!$R$1:$R$93, $D37)</f>
        <v>5</v>
      </c>
      <c r="K37" s="24">
        <f ca="1">SUMIF(Jogos!$S$1:$T$93, $D37, Jogos!$T$1:$T$93)+SUMIF(Jogos!$U$1:$V$93, $D37, Jogos!$V$1:$V$93)</f>
        <v>4</v>
      </c>
      <c r="L37" s="24">
        <f ca="1">SUMIF(Jogos!$S$1:$V$93, $D37, Jogos!$V$1:$V$93)+SUMIF(Jogos!$U$1:$W$93, $D37, Jogos!$W$1:$W$93)</f>
        <v>14</v>
      </c>
      <c r="M37" s="24">
        <f t="shared" ca="1" si="28"/>
        <v>-10</v>
      </c>
      <c r="N37" s="24">
        <f t="shared" ca="1" si="29"/>
        <v>5.6545591855555548</v>
      </c>
      <c r="O37" s="26">
        <v>26</v>
      </c>
      <c r="P37" s="26">
        <f t="shared" ca="1" si="30"/>
        <v>5.6545595555555552</v>
      </c>
      <c r="Q37" s="26">
        <f t="shared" ca="1" si="31"/>
        <v>7</v>
      </c>
    </row>
    <row r="38" spans="1:17" x14ac:dyDescent="0.15">
      <c r="A38" s="24" t="str">
        <f t="shared" ca="1" si="24"/>
        <v>3D</v>
      </c>
      <c r="B38" s="24" t="s">
        <v>16</v>
      </c>
      <c r="C38" s="24">
        <f t="shared" ca="1" si="25"/>
        <v>3</v>
      </c>
      <c r="D38" s="25" t="str">
        <f>VLOOKUP($O38, Equipes!$A$3:$B$30, 2, FALSE)</f>
        <v>Mario Mili</v>
      </c>
      <c r="E38" s="32">
        <f t="shared" si="26"/>
        <v>0.44444444444444442</v>
      </c>
      <c r="F38" s="24">
        <f t="shared" si="27"/>
        <v>8</v>
      </c>
      <c r="G38" s="24">
        <f>COUNTIF(Jogos!$M$1:$N$93, $D38)</f>
        <v>6</v>
      </c>
      <c r="H38" s="24">
        <f>COUNTIF(Jogos!$O$1:$O$93, $D38)</f>
        <v>2</v>
      </c>
      <c r="I38" s="24">
        <f>COUNTIF(Jogos!$P$1:$Q$93, $D38)</f>
        <v>2</v>
      </c>
      <c r="J38" s="24">
        <f>COUNTIF(Jogos!$R$1:$R$93, $D38)</f>
        <v>2</v>
      </c>
      <c r="K38" s="24">
        <f ca="1">SUMIF(Jogos!$S$1:$T$93, $D38, Jogos!$T$1:$T$93)+SUMIF(Jogos!$U$1:$V$93, $D38, Jogos!$V$1:$V$93)</f>
        <v>9</v>
      </c>
      <c r="L38" s="24">
        <f ca="1">SUMIF(Jogos!$S$1:$V$93, $D38, Jogos!$V$1:$V$93)+SUMIF(Jogos!$U$1:$W$93, $D38, Jogos!$W$1:$W$93)</f>
        <v>6</v>
      </c>
      <c r="M38" s="24">
        <f t="shared" ca="1" si="28"/>
        <v>3</v>
      </c>
      <c r="N38" s="24">
        <f t="shared" ca="1" si="29"/>
        <v>45.264753064444434</v>
      </c>
      <c r="O38" s="26">
        <v>27</v>
      </c>
      <c r="P38" s="26">
        <f t="shared" ca="1" si="30"/>
        <v>45.264753444444437</v>
      </c>
      <c r="Q38" s="26">
        <f t="shared" ca="1" si="31"/>
        <v>3</v>
      </c>
    </row>
    <row r="39" spans="1:17" x14ac:dyDescent="0.15">
      <c r="A39" s="24" t="str">
        <f t="shared" ca="1" si="24"/>
        <v>6D</v>
      </c>
      <c r="B39" s="24" t="s">
        <v>16</v>
      </c>
      <c r="C39" s="24">
        <f t="shared" ca="1" si="25"/>
        <v>6</v>
      </c>
      <c r="D39" s="25" t="str">
        <f>VLOOKUP($O39, Equipes!$A$3:$B$30, 2, FALSE)</f>
        <v>Zé Luiz</v>
      </c>
      <c r="E39" s="32">
        <f t="shared" si="26"/>
        <v>0.27777777777777779</v>
      </c>
      <c r="F39" s="24">
        <f t="shared" si="27"/>
        <v>5</v>
      </c>
      <c r="G39" s="24">
        <f>COUNTIF(Jogos!$M$1:$N$93, $D39)</f>
        <v>6</v>
      </c>
      <c r="H39" s="24">
        <f>COUNTIF(Jogos!$O$1:$O$93, $D39)</f>
        <v>1</v>
      </c>
      <c r="I39" s="24">
        <f>COUNTIF(Jogos!$P$1:$Q$93, $D39)</f>
        <v>2</v>
      </c>
      <c r="J39" s="24">
        <f>COUNTIF(Jogos!$R$1:$R$93, $D39)</f>
        <v>3</v>
      </c>
      <c r="K39" s="24">
        <f ca="1">SUMIF(Jogos!$S$1:$T$93, $D39, Jogos!$T$1:$T$93)+SUMIF(Jogos!$U$1:$V$93, $D39, Jogos!$V$1:$V$93)</f>
        <v>6</v>
      </c>
      <c r="L39" s="24">
        <f ca="1">SUMIF(Jogos!$S$1:$V$93, $D39, Jogos!$V$1:$V$93)+SUMIF(Jogos!$U$1:$W$93, $D39, Jogos!$W$1:$W$93)</f>
        <v>11</v>
      </c>
      <c r="M39" s="24">
        <f t="shared" ca="1" si="28"/>
        <v>-5</v>
      </c>
      <c r="N39" s="24">
        <f t="shared" ca="1" si="29"/>
        <v>28.28728338777778</v>
      </c>
      <c r="O39" s="26">
        <v>28</v>
      </c>
      <c r="P39" s="26">
        <f t="shared" ca="1" si="30"/>
        <v>28.28728377777778</v>
      </c>
      <c r="Q39" s="26">
        <f t="shared" ca="1" si="31"/>
        <v>6</v>
      </c>
    </row>
    <row r="41" spans="1:17" ht="25.5" x14ac:dyDescent="0.5">
      <c r="C41" s="55" t="s">
        <v>42</v>
      </c>
      <c r="D41" s="29" t="s">
        <v>33</v>
      </c>
    </row>
    <row r="42" spans="1:17" x14ac:dyDescent="0.15">
      <c r="B42" s="24" t="s">
        <v>43</v>
      </c>
      <c r="C42" s="24">
        <f t="shared" ref="C42:C57" ca="1" si="32">_xlfn.RANK.EQ(E42,$E$42:$E$57)</f>
        <v>2</v>
      </c>
      <c r="D42" s="25" t="str">
        <f t="shared" ref="D42:D57" ca="1" si="33">VLOOKUP($B42,$A$5:$P$39,4,FALSE)</f>
        <v>Willow</v>
      </c>
      <c r="E42" s="24">
        <f t="shared" ref="E42:E57" ca="1" si="34">VLOOKUP($B42,$A$5:$P$39,14,FALSE)</f>
        <v>90.540406828888877</v>
      </c>
    </row>
    <row r="43" spans="1:17" x14ac:dyDescent="0.15">
      <c r="B43" s="24" t="s">
        <v>44</v>
      </c>
      <c r="C43" s="24">
        <f t="shared" ca="1" si="32"/>
        <v>1</v>
      </c>
      <c r="D43" s="25" t="str">
        <f t="shared" ca="1" si="33"/>
        <v>Ruas</v>
      </c>
      <c r="E43" s="24">
        <f t="shared" ca="1" si="34"/>
        <v>101.86161983</v>
      </c>
    </row>
    <row r="44" spans="1:17" x14ac:dyDescent="0.15">
      <c r="B44" s="24" t="s">
        <v>45</v>
      </c>
      <c r="C44" s="24">
        <f t="shared" ca="1" si="32"/>
        <v>4</v>
      </c>
      <c r="D44" s="25" t="str">
        <f t="shared" ca="1" si="33"/>
        <v>Vinicius Rolim</v>
      </c>
      <c r="E44" s="24">
        <f t="shared" ca="1" si="34"/>
        <v>79.218695537777776</v>
      </c>
    </row>
    <row r="45" spans="1:17" x14ac:dyDescent="0.15">
      <c r="B45" s="24" t="s">
        <v>46</v>
      </c>
      <c r="C45" s="24">
        <f t="shared" ca="1" si="32"/>
        <v>3</v>
      </c>
      <c r="D45" s="25" t="str">
        <f t="shared" ca="1" si="33"/>
        <v>Tabajara</v>
      </c>
      <c r="E45" s="24">
        <f t="shared" ca="1" si="34"/>
        <v>90.540203538888889</v>
      </c>
    </row>
    <row r="46" spans="1:17" x14ac:dyDescent="0.15">
      <c r="B46" s="24" t="s">
        <v>47</v>
      </c>
      <c r="C46" s="24">
        <f t="shared" ca="1" si="32"/>
        <v>10</v>
      </c>
      <c r="D46" s="25" t="str">
        <f t="shared" ca="1" si="33"/>
        <v>Luiz Coelho</v>
      </c>
      <c r="E46" s="24">
        <f t="shared" ca="1" si="34"/>
        <v>50.920004920000004</v>
      </c>
    </row>
    <row r="47" spans="1:17" x14ac:dyDescent="0.15">
      <c r="B47" s="24" t="s">
        <v>48</v>
      </c>
      <c r="C47" s="24">
        <f t="shared" ca="1" si="32"/>
        <v>5</v>
      </c>
      <c r="D47" s="25" t="str">
        <f t="shared" ca="1" si="33"/>
        <v>Teruel</v>
      </c>
      <c r="E47" s="24">
        <f t="shared" ca="1" si="34"/>
        <v>73.562833072222219</v>
      </c>
    </row>
    <row r="48" spans="1:17" x14ac:dyDescent="0.15">
      <c r="B48" s="24" t="s">
        <v>49</v>
      </c>
      <c r="C48" s="24">
        <f t="shared" ca="1" si="32"/>
        <v>7</v>
      </c>
      <c r="D48" s="25" t="str">
        <f t="shared" ca="1" si="33"/>
        <v xml:space="preserve">Marcão </v>
      </c>
      <c r="E48" s="24">
        <f t="shared" ca="1" si="34"/>
        <v>67.897081366666654</v>
      </c>
    </row>
    <row r="49" spans="2:5" x14ac:dyDescent="0.15">
      <c r="B49" s="24" t="s">
        <v>50</v>
      </c>
      <c r="C49" s="24">
        <f t="shared" ca="1" si="32"/>
        <v>6</v>
      </c>
      <c r="D49" s="25" t="str">
        <f t="shared" ca="1" si="33"/>
        <v>Galdeano</v>
      </c>
      <c r="E49" s="24">
        <f t="shared" ca="1" si="34"/>
        <v>67.907280336666645</v>
      </c>
    </row>
    <row r="50" spans="2:5" x14ac:dyDescent="0.15">
      <c r="B50" s="24" t="s">
        <v>51</v>
      </c>
      <c r="C50" s="24">
        <f t="shared" ca="1" si="32"/>
        <v>12</v>
      </c>
      <c r="D50" s="25" t="str">
        <f t="shared" ca="1" si="33"/>
        <v>Afonso</v>
      </c>
      <c r="E50" s="24">
        <f t="shared" ca="1" si="34"/>
        <v>45.264451354444439</v>
      </c>
    </row>
    <row r="51" spans="2:5" x14ac:dyDescent="0.15">
      <c r="B51" s="24" t="s">
        <v>52</v>
      </c>
      <c r="C51" s="24">
        <f t="shared" ca="1" si="32"/>
        <v>9</v>
      </c>
      <c r="D51" s="25" t="str">
        <f t="shared" ca="1" si="33"/>
        <v>Elsio</v>
      </c>
      <c r="E51" s="24">
        <f t="shared" ca="1" si="34"/>
        <v>50.92000779</v>
      </c>
    </row>
    <row r="52" spans="2:5" x14ac:dyDescent="0.15">
      <c r="B52" s="24" t="s">
        <v>53</v>
      </c>
      <c r="C52" s="24">
        <f t="shared" ca="1" si="32"/>
        <v>8</v>
      </c>
      <c r="D52" s="25" t="str">
        <f t="shared" ca="1" si="33"/>
        <v>Rodrigo Moro</v>
      </c>
      <c r="E52" s="24">
        <f t="shared" ca="1" si="34"/>
        <v>56.585869275555559</v>
      </c>
    </row>
    <row r="53" spans="2:5" x14ac:dyDescent="0.15">
      <c r="B53" s="24" t="s">
        <v>54</v>
      </c>
      <c r="C53" s="24">
        <f t="shared" ca="1" si="32"/>
        <v>11</v>
      </c>
      <c r="D53" s="25" t="str">
        <f t="shared" ca="1" si="33"/>
        <v>Mario Mili</v>
      </c>
      <c r="E53" s="24">
        <f t="shared" ca="1" si="34"/>
        <v>45.264753064444434</v>
      </c>
    </row>
    <row r="54" spans="2:5" x14ac:dyDescent="0.15">
      <c r="B54" s="24" t="s">
        <v>55</v>
      </c>
      <c r="C54" s="24">
        <f t="shared" ca="1" si="32"/>
        <v>15</v>
      </c>
      <c r="D54" s="25" t="str">
        <f t="shared" ca="1" si="33"/>
        <v>DJ Iury</v>
      </c>
      <c r="E54" s="24">
        <f t="shared" ca="1" si="34"/>
        <v>39.608497818888893</v>
      </c>
    </row>
    <row r="55" spans="2:5" x14ac:dyDescent="0.15">
      <c r="B55" s="24" t="s">
        <v>56</v>
      </c>
      <c r="C55" s="24">
        <f t="shared" ca="1" si="32"/>
        <v>16</v>
      </c>
      <c r="D55" s="25" t="str">
        <f t="shared" ca="1" si="33"/>
        <v>Mario</v>
      </c>
      <c r="E55" s="24">
        <f t="shared" ca="1" si="34"/>
        <v>33.942737153333326</v>
      </c>
    </row>
    <row r="56" spans="2:5" x14ac:dyDescent="0.15">
      <c r="B56" s="24" t="s">
        <v>57</v>
      </c>
      <c r="C56" s="24">
        <f t="shared" ca="1" si="32"/>
        <v>14</v>
      </c>
      <c r="D56" s="25" t="str">
        <f t="shared" ca="1" si="33"/>
        <v>Diogo</v>
      </c>
      <c r="E56" s="24">
        <f t="shared" ca="1" si="34"/>
        <v>39.608704628888887</v>
      </c>
    </row>
    <row r="57" spans="2:5" x14ac:dyDescent="0.15">
      <c r="B57" s="24" t="s">
        <v>58</v>
      </c>
      <c r="C57" s="24">
        <f t="shared" ca="1" si="32"/>
        <v>13</v>
      </c>
      <c r="D57" s="25" t="str">
        <f t="shared" ca="1" si="33"/>
        <v>Rafael Balieiro</v>
      </c>
      <c r="E57" s="24">
        <f t="shared" ca="1" si="34"/>
        <v>45.264150084444438</v>
      </c>
    </row>
    <row r="60" spans="2:5" ht="25.5" x14ac:dyDescent="0.5">
      <c r="C60" s="56" t="s">
        <v>59</v>
      </c>
      <c r="D60" s="29" t="s">
        <v>33</v>
      </c>
    </row>
    <row r="61" spans="2:5" x14ac:dyDescent="0.15">
      <c r="B61" s="24" t="s">
        <v>60</v>
      </c>
      <c r="C61" s="24">
        <f t="shared" ref="C61:C72" ca="1" si="35">_xlfn.RANK.EQ(E61,$E$61:$E$72) + 16</f>
        <v>20</v>
      </c>
      <c r="D61" s="25" t="str">
        <f t="shared" ref="D61:D72" ca="1" si="36">VLOOKUP($B61,$A$5:$P$39,4,FALSE)</f>
        <v>Sergio Barreira</v>
      </c>
      <c r="E61" s="24">
        <f t="shared" ref="E61:E72" ca="1" si="37">VLOOKUP($B61,$A$5:$P$39,14,FALSE)</f>
        <v>39.598894788888884</v>
      </c>
    </row>
    <row r="62" spans="2:5" x14ac:dyDescent="0.15">
      <c r="B62" s="24" t="s">
        <v>61</v>
      </c>
      <c r="C62" s="24">
        <f t="shared" ca="1" si="35"/>
        <v>22</v>
      </c>
      <c r="D62" s="25" t="str">
        <f t="shared" ca="1" si="36"/>
        <v>Pepe</v>
      </c>
      <c r="E62" s="24">
        <f t="shared" ca="1" si="37"/>
        <v>28.287280667777782</v>
      </c>
    </row>
    <row r="63" spans="2:5" x14ac:dyDescent="0.15">
      <c r="B63" s="24" t="s">
        <v>62</v>
      </c>
      <c r="C63" s="24">
        <f t="shared" ca="1" si="35"/>
        <v>26</v>
      </c>
      <c r="D63" s="25" t="str">
        <f t="shared" ca="1" si="36"/>
        <v>Cortez</v>
      </c>
      <c r="E63" s="24">
        <f t="shared" ca="1" si="37"/>
        <v>16.966070546666664</v>
      </c>
    </row>
    <row r="64" spans="2:5" x14ac:dyDescent="0.15">
      <c r="B64" s="24" t="s">
        <v>63</v>
      </c>
      <c r="C64" s="24">
        <f t="shared" ca="1" si="35"/>
        <v>23</v>
      </c>
      <c r="D64" s="25" t="str">
        <f t="shared" ca="1" si="36"/>
        <v>Tupinamba</v>
      </c>
      <c r="E64" s="24">
        <f t="shared" ca="1" si="37"/>
        <v>28.287080617777782</v>
      </c>
    </row>
    <row r="65" spans="2:5" x14ac:dyDescent="0.15">
      <c r="B65" s="24" t="s">
        <v>64</v>
      </c>
      <c r="C65" s="24">
        <f t="shared" ca="1" si="35"/>
        <v>24</v>
      </c>
      <c r="D65" s="25" t="str">
        <f t="shared" ca="1" si="36"/>
        <v>Léo Carioca</v>
      </c>
      <c r="E65" s="24">
        <f t="shared" ca="1" si="37"/>
        <v>22.63172502222222</v>
      </c>
    </row>
    <row r="66" spans="2:5" x14ac:dyDescent="0.15">
      <c r="B66" s="24" t="s">
        <v>65</v>
      </c>
      <c r="C66" s="24">
        <f t="shared" ca="1" si="35"/>
        <v>25</v>
      </c>
      <c r="D66" s="25" t="str">
        <f t="shared" ca="1" si="36"/>
        <v>Reginaldo</v>
      </c>
      <c r="E66" s="24">
        <f t="shared" ca="1" si="37"/>
        <v>16.976272476666662</v>
      </c>
    </row>
    <row r="67" spans="2:5" x14ac:dyDescent="0.15">
      <c r="B67" s="24" t="s">
        <v>66</v>
      </c>
      <c r="C67" s="24">
        <f t="shared" ca="1" si="35"/>
        <v>18</v>
      </c>
      <c r="D67" s="25" t="str">
        <f t="shared" ca="1" si="36"/>
        <v>Erismar</v>
      </c>
      <c r="E67" s="24">
        <f t="shared" ca="1" si="37"/>
        <v>39.608695598888886</v>
      </c>
    </row>
    <row r="68" spans="2:5" x14ac:dyDescent="0.15">
      <c r="B68" s="24" t="s">
        <v>67</v>
      </c>
      <c r="C68" s="24">
        <f t="shared" ca="1" si="35"/>
        <v>19</v>
      </c>
      <c r="D68" s="25" t="str">
        <f t="shared" ca="1" si="36"/>
        <v>Professor</v>
      </c>
      <c r="E68" s="24">
        <f t="shared" ca="1" si="37"/>
        <v>39.608392638888887</v>
      </c>
    </row>
    <row r="69" spans="2:5" x14ac:dyDescent="0.15">
      <c r="B69" s="24" t="s">
        <v>68</v>
      </c>
      <c r="C69" s="24">
        <f t="shared" ca="1" si="35"/>
        <v>27</v>
      </c>
      <c r="D69" s="25" t="str">
        <f t="shared" ca="1" si="36"/>
        <v>Felix</v>
      </c>
      <c r="E69" s="24">
        <f t="shared" ca="1" si="37"/>
        <v>5.6548592855555553</v>
      </c>
    </row>
    <row r="70" spans="2:5" x14ac:dyDescent="0.15">
      <c r="B70" s="24" t="s">
        <v>69</v>
      </c>
      <c r="C70" s="24">
        <f t="shared" ca="1" si="35"/>
        <v>17</v>
      </c>
      <c r="D70" s="25" t="str">
        <f t="shared" ca="1" si="36"/>
        <v>Luiz Moreira</v>
      </c>
      <c r="E70" s="24">
        <f t="shared" ca="1" si="37"/>
        <v>45.264047104444444</v>
      </c>
    </row>
    <row r="71" spans="2:5" x14ac:dyDescent="0.15">
      <c r="B71" s="24" t="s">
        <v>70</v>
      </c>
      <c r="C71" s="24">
        <f t="shared" ca="1" si="35"/>
        <v>21</v>
      </c>
      <c r="D71" s="25" t="str">
        <f t="shared" ca="1" si="36"/>
        <v>Zé Luiz</v>
      </c>
      <c r="E71" s="24">
        <f t="shared" ca="1" si="37"/>
        <v>28.28728338777778</v>
      </c>
    </row>
    <row r="72" spans="2:5" x14ac:dyDescent="0.15">
      <c r="B72" s="24" t="s">
        <v>71</v>
      </c>
      <c r="C72" s="24">
        <f t="shared" ca="1" si="35"/>
        <v>28</v>
      </c>
      <c r="D72" s="25" t="str">
        <f t="shared" ca="1" si="36"/>
        <v>Coelho</v>
      </c>
      <c r="E72" s="24">
        <f t="shared" ca="1" si="37"/>
        <v>5.6545591855555548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workbookViewId="0">
      <pane ySplit="1" topLeftCell="A20" activePane="bottomLeft" state="frozen"/>
      <selection pane="bottomLeft" activeCell="E26" sqref="E26"/>
    </sheetView>
  </sheetViews>
  <sheetFormatPr defaultRowHeight="17.25" x14ac:dyDescent="0.3"/>
  <cols>
    <col min="1" max="1" width="1.7109375" style="37" customWidth="1"/>
    <col min="2" max="2" width="7.7109375" style="54" customWidth="1"/>
    <col min="3" max="3" width="40.7109375" style="39" customWidth="1"/>
    <col min="4" max="12" width="8.7109375" style="40" customWidth="1"/>
    <col min="13" max="13" width="9.140625" style="41"/>
    <col min="14" max="16384" width="9.140625" style="33"/>
  </cols>
  <sheetData>
    <row r="1" spans="1:13" ht="20.25" x14ac:dyDescent="0.3">
      <c r="B1" s="38" t="s">
        <v>41</v>
      </c>
    </row>
    <row r="2" spans="1:13" x14ac:dyDescent="0.3">
      <c r="B2" s="42" t="s">
        <v>1</v>
      </c>
    </row>
    <row r="3" spans="1:13" x14ac:dyDescent="0.3">
      <c r="B3" s="43" t="s">
        <v>22</v>
      </c>
      <c r="C3" s="44" t="s">
        <v>33</v>
      </c>
      <c r="D3" s="45" t="s">
        <v>34</v>
      </c>
      <c r="E3" s="45" t="s">
        <v>35</v>
      </c>
      <c r="F3" s="45" t="s">
        <v>13</v>
      </c>
      <c r="G3" s="45" t="s">
        <v>14</v>
      </c>
      <c r="H3" s="45" t="s">
        <v>15</v>
      </c>
      <c r="I3" s="45" t="s">
        <v>16</v>
      </c>
      <c r="J3" s="45" t="s">
        <v>36</v>
      </c>
      <c r="K3" s="45" t="s">
        <v>37</v>
      </c>
      <c r="L3" s="45" t="s">
        <v>38</v>
      </c>
    </row>
    <row r="4" spans="1:13" x14ac:dyDescent="0.3">
      <c r="A4" s="37">
        <v>1</v>
      </c>
      <c r="B4" s="46">
        <f ca="1">IFERROR(VLOOKUP($A4,ClassGrupFases!$C$6:$Q$13,15,FALSE),"")</f>
        <v>1</v>
      </c>
      <c r="C4" s="47" t="str">
        <f ca="1">IFERROR(VLOOKUP($A4,ClassGrupFases!$C$6:$Q$13,2,FALSE),"")</f>
        <v>Willow</v>
      </c>
      <c r="D4" s="48">
        <f ca="1">IFERROR(VLOOKUP($A4,ClassGrupFases!$C$6:$Q$13,3,FALSE),"")</f>
        <v>0.88888888888888884</v>
      </c>
      <c r="E4" s="49">
        <f ca="1">IFERROR(VLOOKUP($A4,ClassGrupFases!$C$6:$Q$13,4,FALSE),"")</f>
        <v>16</v>
      </c>
      <c r="F4" s="49">
        <f ca="1">IFERROR(VLOOKUP($A4,ClassGrupFases!$C$6:$Q$13,5,FALSE),"")</f>
        <v>6</v>
      </c>
      <c r="G4" s="49">
        <f ca="1">IFERROR(VLOOKUP($A4,ClassGrupFases!$C$6:$Q$13,6,FALSE),"")</f>
        <v>5</v>
      </c>
      <c r="H4" s="49">
        <f ca="1">IFERROR(VLOOKUP($A4,ClassGrupFases!$C$6:$Q$13,7,FALSE),"")</f>
        <v>1</v>
      </c>
      <c r="I4" s="49">
        <f ca="1">IFERROR(VLOOKUP($A4,ClassGrupFases!$C$6:$Q$13,8,FALSE),"")</f>
        <v>0</v>
      </c>
      <c r="J4" s="49">
        <f ca="1">IFERROR(VLOOKUP($A4,ClassGrupFases!$C$6:$Q$13,9,FALSE),"")</f>
        <v>18</v>
      </c>
      <c r="K4" s="49">
        <f ca="1">IFERROR(VLOOKUP($A4,ClassGrupFases!$C$6:$Q$13,10,FALSE),"")</f>
        <v>3</v>
      </c>
      <c r="L4" s="49">
        <f ca="1">IFERROR(VLOOKUP($A4,ClassGrupFases!$C$6:$Q$13,11,FALSE),"")</f>
        <v>15</v>
      </c>
      <c r="M4" s="41">
        <f ca="1">IFERROR(VLOOKUP($A4,ClassGrupFases!$C$6:$Q$13,1,FALSE),"")</f>
        <v>1</v>
      </c>
    </row>
    <row r="5" spans="1:13" x14ac:dyDescent="0.3">
      <c r="A5" s="37">
        <v>2</v>
      </c>
      <c r="B5" s="46">
        <f ca="1">IFERROR(VLOOKUP($A5,ClassGrupFases!$C$6:$Q$13,15,FALSE),"")</f>
        <v>2</v>
      </c>
      <c r="C5" s="47" t="str">
        <f ca="1">IFERROR(VLOOKUP($A5,ClassGrupFases!$C$6:$Q$13,2,FALSE),"")</f>
        <v>Luiz Coelho</v>
      </c>
      <c r="D5" s="48">
        <f ca="1">IFERROR(VLOOKUP($A5,ClassGrupFases!$C$6:$Q$13,3,FALSE),"")</f>
        <v>0.5</v>
      </c>
      <c r="E5" s="49">
        <f ca="1">IFERROR(VLOOKUP($A5,ClassGrupFases!$C$6:$Q$13,4,FALSE),"")</f>
        <v>9</v>
      </c>
      <c r="F5" s="49">
        <f ca="1">IFERROR(VLOOKUP($A5,ClassGrupFases!$C$6:$Q$13,5,FALSE),"")</f>
        <v>6</v>
      </c>
      <c r="G5" s="49">
        <f ca="1">IFERROR(VLOOKUP($A5,ClassGrupFases!$C$6:$Q$13,6,FALSE),"")</f>
        <v>2</v>
      </c>
      <c r="H5" s="49">
        <f ca="1">IFERROR(VLOOKUP($A5,ClassGrupFases!$C$6:$Q$13,7,FALSE),"")</f>
        <v>3</v>
      </c>
      <c r="I5" s="49">
        <f ca="1">IFERROR(VLOOKUP($A5,ClassGrupFases!$C$6:$Q$13,8,FALSE),"")</f>
        <v>1</v>
      </c>
      <c r="J5" s="49">
        <f ca="1">IFERROR(VLOOKUP($A5,ClassGrupFases!$C$6:$Q$13,9,FALSE),"")</f>
        <v>5</v>
      </c>
      <c r="K5" s="49">
        <f ca="1">IFERROR(VLOOKUP($A5,ClassGrupFases!$C$6:$Q$13,10,FALSE),"")</f>
        <v>5</v>
      </c>
      <c r="L5" s="49">
        <f ca="1">IFERROR(VLOOKUP($A5,ClassGrupFases!$C$6:$Q$13,11,FALSE),"")</f>
        <v>0</v>
      </c>
      <c r="M5" s="41">
        <f ca="1">IFERROR(VLOOKUP($A5,ClassGrupFases!$C$6:$Q$13,1,FALSE),"")</f>
        <v>2</v>
      </c>
    </row>
    <row r="6" spans="1:13" x14ac:dyDescent="0.3">
      <c r="A6" s="37">
        <v>3</v>
      </c>
      <c r="B6" s="46">
        <f ca="1">IFERROR(VLOOKUP($A6,ClassGrupFases!$C$6:$Q$13,15,FALSE),"")</f>
        <v>3</v>
      </c>
      <c r="C6" s="47" t="str">
        <f ca="1">IFERROR(VLOOKUP($A6,ClassGrupFases!$C$6:$Q$13,2,FALSE),"")</f>
        <v>Afonso</v>
      </c>
      <c r="D6" s="48">
        <f ca="1">IFERROR(VLOOKUP($A6,ClassGrupFases!$C$6:$Q$13,3,FALSE),"")</f>
        <v>0.44444444444444442</v>
      </c>
      <c r="E6" s="49">
        <f ca="1">IFERROR(VLOOKUP($A6,ClassGrupFases!$C$6:$Q$13,4,FALSE),"")</f>
        <v>8</v>
      </c>
      <c r="F6" s="49">
        <f ca="1">IFERROR(VLOOKUP($A6,ClassGrupFases!$C$6:$Q$13,5,FALSE),"")</f>
        <v>6</v>
      </c>
      <c r="G6" s="49">
        <f ca="1">IFERROR(VLOOKUP($A6,ClassGrupFases!$C$6:$Q$13,6,FALSE),"")</f>
        <v>2</v>
      </c>
      <c r="H6" s="49">
        <f ca="1">IFERROR(VLOOKUP($A6,ClassGrupFases!$C$6:$Q$13,7,FALSE),"")</f>
        <v>2</v>
      </c>
      <c r="I6" s="49">
        <f ca="1">IFERROR(VLOOKUP($A6,ClassGrupFases!$C$6:$Q$13,8,FALSE),"")</f>
        <v>2</v>
      </c>
      <c r="J6" s="49">
        <f ca="1">IFERROR(VLOOKUP($A6,ClassGrupFases!$C$6:$Q$13,9,FALSE),"")</f>
        <v>7</v>
      </c>
      <c r="K6" s="49">
        <f ca="1">IFERROR(VLOOKUP($A6,ClassGrupFases!$C$6:$Q$13,10,FALSE),"")</f>
        <v>7</v>
      </c>
      <c r="L6" s="49">
        <f ca="1">IFERROR(VLOOKUP($A6,ClassGrupFases!$C$6:$Q$13,11,FALSE),"")</f>
        <v>0</v>
      </c>
      <c r="M6" s="41">
        <f ca="1">IFERROR(VLOOKUP($A6,ClassGrupFases!$C$6:$Q$13,1,FALSE),"")</f>
        <v>3</v>
      </c>
    </row>
    <row r="7" spans="1:13" x14ac:dyDescent="0.3">
      <c r="A7" s="37">
        <v>4</v>
      </c>
      <c r="B7" s="46">
        <f ca="1">IFERROR(VLOOKUP($A7,ClassGrupFases!$C$6:$Q$13,15,FALSE),"")</f>
        <v>4</v>
      </c>
      <c r="C7" s="47" t="str">
        <f ca="1">IFERROR(VLOOKUP($A7,ClassGrupFases!$C$6:$Q$13,2,FALSE),"")</f>
        <v>DJ Iury</v>
      </c>
      <c r="D7" s="48">
        <f ca="1">IFERROR(VLOOKUP($A7,ClassGrupFases!$C$6:$Q$13,3,FALSE),"")</f>
        <v>0.3888888888888889</v>
      </c>
      <c r="E7" s="49">
        <f ca="1">IFERROR(VLOOKUP($A7,ClassGrupFases!$C$6:$Q$13,4,FALSE),"")</f>
        <v>7</v>
      </c>
      <c r="F7" s="49">
        <f ca="1">IFERROR(VLOOKUP($A7,ClassGrupFases!$C$6:$Q$13,5,FALSE),"")</f>
        <v>6</v>
      </c>
      <c r="G7" s="49">
        <f ca="1">IFERROR(VLOOKUP($A7,ClassGrupFases!$C$6:$Q$13,6,FALSE),"")</f>
        <v>2</v>
      </c>
      <c r="H7" s="49">
        <f ca="1">IFERROR(VLOOKUP($A7,ClassGrupFases!$C$6:$Q$13,7,FALSE),"")</f>
        <v>1</v>
      </c>
      <c r="I7" s="49">
        <f ca="1">IFERROR(VLOOKUP($A7,ClassGrupFases!$C$6:$Q$13,8,FALSE),"")</f>
        <v>3</v>
      </c>
      <c r="J7" s="49">
        <f ca="1">IFERROR(VLOOKUP($A7,ClassGrupFases!$C$6:$Q$13,9,FALSE),"")</f>
        <v>9</v>
      </c>
      <c r="K7" s="49">
        <f ca="1">IFERROR(VLOOKUP($A7,ClassGrupFases!$C$6:$Q$13,10,FALSE),"")</f>
        <v>13</v>
      </c>
      <c r="L7" s="49">
        <f ca="1">IFERROR(VLOOKUP($A7,ClassGrupFases!$C$6:$Q$13,11,FALSE),"")</f>
        <v>-4</v>
      </c>
      <c r="M7" s="41">
        <f ca="1">IFERROR(VLOOKUP($A7,ClassGrupFases!$C$6:$Q$13,1,FALSE),"")</f>
        <v>4</v>
      </c>
    </row>
    <row r="8" spans="1:13" x14ac:dyDescent="0.3">
      <c r="A8" s="37">
        <v>5</v>
      </c>
      <c r="B8" s="46">
        <f ca="1">IFERROR(VLOOKUP($A8,ClassGrupFases!$C$6:$Q$13,15,FALSE),"")</f>
        <v>5</v>
      </c>
      <c r="C8" s="47" t="str">
        <f ca="1">IFERROR(VLOOKUP($A8,ClassGrupFases!$C$6:$Q$13,2,FALSE),"")</f>
        <v>Sergio Barreira</v>
      </c>
      <c r="D8" s="48">
        <f ca="1">IFERROR(VLOOKUP($A8,ClassGrupFases!$C$6:$Q$13,3,FALSE),"")</f>
        <v>0.3888888888888889</v>
      </c>
      <c r="E8" s="49">
        <f ca="1">IFERROR(VLOOKUP($A8,ClassGrupFases!$C$6:$Q$13,4,FALSE),"")</f>
        <v>7</v>
      </c>
      <c r="F8" s="49">
        <f ca="1">IFERROR(VLOOKUP($A8,ClassGrupFases!$C$6:$Q$13,5,FALSE),"")</f>
        <v>6</v>
      </c>
      <c r="G8" s="49">
        <f ca="1">IFERROR(VLOOKUP($A8,ClassGrupFases!$C$6:$Q$13,6,FALSE),"")</f>
        <v>1</v>
      </c>
      <c r="H8" s="49">
        <f ca="1">IFERROR(VLOOKUP($A8,ClassGrupFases!$C$6:$Q$13,7,FALSE),"")</f>
        <v>4</v>
      </c>
      <c r="I8" s="49">
        <f ca="1">IFERROR(VLOOKUP($A8,ClassGrupFases!$C$6:$Q$13,8,FALSE),"")</f>
        <v>1</v>
      </c>
      <c r="J8" s="49">
        <f ca="1">IFERROR(VLOOKUP($A8,ClassGrupFases!$C$6:$Q$13,9,FALSE),"")</f>
        <v>6</v>
      </c>
      <c r="K8" s="49">
        <f ca="1">IFERROR(VLOOKUP($A8,ClassGrupFases!$C$6:$Q$13,10,FALSE),"")</f>
        <v>6</v>
      </c>
      <c r="L8" s="49">
        <f ca="1">IFERROR(VLOOKUP($A8,ClassGrupFases!$C$6:$Q$13,11,FALSE),"")</f>
        <v>0</v>
      </c>
      <c r="M8" s="41">
        <f ca="1">IFERROR(VLOOKUP($A8,ClassGrupFases!$C$6:$Q$13,1,FALSE),"")</f>
        <v>5</v>
      </c>
    </row>
    <row r="9" spans="1:13" x14ac:dyDescent="0.3">
      <c r="A9" s="37">
        <v>6</v>
      </c>
      <c r="B9" s="46">
        <f ca="1">IFERROR(VLOOKUP($A9,ClassGrupFases!$C$6:$Q$13,15,FALSE),"")</f>
        <v>6</v>
      </c>
      <c r="C9" s="47" t="str">
        <f ca="1">IFERROR(VLOOKUP($A9,ClassGrupFases!$C$6:$Q$13,2,FALSE),"")</f>
        <v>Pepe</v>
      </c>
      <c r="D9" s="48">
        <f ca="1">IFERROR(VLOOKUP($A9,ClassGrupFases!$C$6:$Q$13,3,FALSE),"")</f>
        <v>0.27777777777777779</v>
      </c>
      <c r="E9" s="49">
        <f ca="1">IFERROR(VLOOKUP($A9,ClassGrupFases!$C$6:$Q$13,4,FALSE),"")</f>
        <v>5</v>
      </c>
      <c r="F9" s="49">
        <f ca="1">IFERROR(VLOOKUP($A9,ClassGrupFases!$C$6:$Q$13,5,FALSE),"")</f>
        <v>6</v>
      </c>
      <c r="G9" s="49">
        <f ca="1">IFERROR(VLOOKUP($A9,ClassGrupFases!$C$6:$Q$13,6,FALSE),"")</f>
        <v>1</v>
      </c>
      <c r="H9" s="49">
        <f ca="1">IFERROR(VLOOKUP($A9,ClassGrupFases!$C$6:$Q$13,7,FALSE),"")</f>
        <v>2</v>
      </c>
      <c r="I9" s="49">
        <f ca="1">IFERROR(VLOOKUP($A9,ClassGrupFases!$C$6:$Q$13,8,FALSE),"")</f>
        <v>3</v>
      </c>
      <c r="J9" s="49">
        <f ca="1">IFERROR(VLOOKUP($A9,ClassGrupFases!$C$6:$Q$13,9,FALSE),"")</f>
        <v>3</v>
      </c>
      <c r="K9" s="49">
        <f ca="1">IFERROR(VLOOKUP($A9,ClassGrupFases!$C$6:$Q$13,10,FALSE),"")</f>
        <v>8</v>
      </c>
      <c r="L9" s="49">
        <f ca="1">IFERROR(VLOOKUP($A9,ClassGrupFases!$C$6:$Q$13,11,FALSE),"")</f>
        <v>-5</v>
      </c>
      <c r="M9" s="41">
        <f ca="1">IFERROR(VLOOKUP($A9,ClassGrupFases!$C$6:$Q$13,1,FALSE),"")</f>
        <v>6</v>
      </c>
    </row>
    <row r="10" spans="1:13" x14ac:dyDescent="0.3">
      <c r="A10" s="37">
        <v>7</v>
      </c>
      <c r="B10" s="50">
        <f ca="1">IFERROR(VLOOKUP($A10,ClassGrupFases!$C$6:$Q$13,15,FALSE),"")</f>
        <v>7</v>
      </c>
      <c r="C10" s="51" t="str">
        <f ca="1">IFERROR(VLOOKUP($A10,ClassGrupFases!$C$6:$Q$13,2,FALSE),"")</f>
        <v>Cortez</v>
      </c>
      <c r="D10" s="52">
        <f ca="1">IFERROR(VLOOKUP($A10,ClassGrupFases!$C$6:$Q$13,3,FALSE),"")</f>
        <v>0.16666666666666666</v>
      </c>
      <c r="E10" s="53">
        <f ca="1">IFERROR(VLOOKUP($A10,ClassGrupFases!$C$6:$Q$13,4,FALSE),"")</f>
        <v>3</v>
      </c>
      <c r="F10" s="53">
        <f ca="1">IFERROR(VLOOKUP($A10,ClassGrupFases!$C$6:$Q$13,5,FALSE),"")</f>
        <v>6</v>
      </c>
      <c r="G10" s="53">
        <f ca="1">IFERROR(VLOOKUP($A10,ClassGrupFases!$C$6:$Q$13,6,FALSE),"")</f>
        <v>0</v>
      </c>
      <c r="H10" s="53">
        <f ca="1">IFERROR(VLOOKUP($A10,ClassGrupFases!$C$6:$Q$13,7,FALSE),"")</f>
        <v>3</v>
      </c>
      <c r="I10" s="53">
        <f ca="1">IFERROR(VLOOKUP($A10,ClassGrupFases!$C$6:$Q$13,8,FALSE),"")</f>
        <v>3</v>
      </c>
      <c r="J10" s="53">
        <f ca="1">IFERROR(VLOOKUP($A10,ClassGrupFases!$C$6:$Q$13,9,FALSE),"")</f>
        <v>4</v>
      </c>
      <c r="K10" s="53">
        <f ca="1">IFERROR(VLOOKUP($A10,ClassGrupFases!$C$6:$Q$13,10,FALSE),"")</f>
        <v>10</v>
      </c>
      <c r="L10" s="53">
        <f ca="1">IFERROR(VLOOKUP($A10,ClassGrupFases!$C$6:$Q$13,11,FALSE),"")</f>
        <v>-6</v>
      </c>
      <c r="M10" s="41">
        <f ca="1">IFERROR(VLOOKUP($A10,ClassGrupFases!$C$6:$Q$13,1,FALSE),"")</f>
        <v>7</v>
      </c>
    </row>
    <row r="12" spans="1:13" x14ac:dyDescent="0.3">
      <c r="B12" s="43" t="s">
        <v>23</v>
      </c>
      <c r="C12" s="44" t="s">
        <v>33</v>
      </c>
      <c r="D12" s="45" t="s">
        <v>34</v>
      </c>
      <c r="E12" s="45" t="s">
        <v>35</v>
      </c>
      <c r="F12" s="45" t="s">
        <v>13</v>
      </c>
      <c r="G12" s="45" t="s">
        <v>14</v>
      </c>
      <c r="H12" s="45" t="s">
        <v>15</v>
      </c>
      <c r="I12" s="45" t="s">
        <v>16</v>
      </c>
      <c r="J12" s="45" t="s">
        <v>36</v>
      </c>
      <c r="K12" s="45" t="s">
        <v>37</v>
      </c>
      <c r="L12" s="45" t="s">
        <v>38</v>
      </c>
    </row>
    <row r="13" spans="1:13" x14ac:dyDescent="0.3">
      <c r="A13" s="37">
        <v>1</v>
      </c>
      <c r="B13" s="46">
        <f ca="1">IFERROR(VLOOKUP($A13,ClassGrupFases!$C$15:$Q$22,15,FALSE),"")</f>
        <v>1</v>
      </c>
      <c r="C13" s="47" t="str">
        <f ca="1">IFERROR(VLOOKUP($A13,ClassGrupFases!$C$15:$Q$22,2,FALSE),"")</f>
        <v>Ruas</v>
      </c>
      <c r="D13" s="48">
        <f ca="1">IFERROR(VLOOKUP($A13,ClassGrupFases!$C$15:$Q$22,3,FALSE),"")</f>
        <v>1</v>
      </c>
      <c r="E13" s="49">
        <f ca="1">IFERROR(VLOOKUP($A13,ClassGrupFases!$C$15:$Q$22,4,FALSE),"")</f>
        <v>18</v>
      </c>
      <c r="F13" s="49">
        <f ca="1">IFERROR(VLOOKUP($A13,ClassGrupFases!$C$15:$Q$22,5,FALSE),"")</f>
        <v>6</v>
      </c>
      <c r="G13" s="49">
        <f ca="1">IFERROR(VLOOKUP($A13,ClassGrupFases!$C$15:$Q$22,6,FALSE),"")</f>
        <v>6</v>
      </c>
      <c r="H13" s="49">
        <f ca="1">IFERROR(VLOOKUP($A13,ClassGrupFases!$C$15:$Q$22,7,FALSE),"")</f>
        <v>0</v>
      </c>
      <c r="I13" s="49">
        <f ca="1">IFERROR(VLOOKUP($A13,ClassGrupFases!$C$15:$Q$22,8,FALSE),"")</f>
        <v>0</v>
      </c>
      <c r="J13" s="49">
        <f ca="1">IFERROR(VLOOKUP($A13,ClassGrupFases!$C$15:$Q$22,9,FALSE),"")</f>
        <v>20</v>
      </c>
      <c r="K13" s="49">
        <f ca="1">IFERROR(VLOOKUP($A13,ClassGrupFases!$C$15:$Q$22,10,FALSE),"")</f>
        <v>4</v>
      </c>
      <c r="L13" s="49">
        <f ca="1">IFERROR(VLOOKUP($A13,ClassGrupFases!$C$15:$Q$22,11,FALSE),"")</f>
        <v>16</v>
      </c>
      <c r="M13" s="41">
        <f ca="1">IFERROR(VLOOKUP($A13,ClassGrupFases!$C$15:$Q$22,1,FALSE),"")</f>
        <v>1</v>
      </c>
    </row>
    <row r="14" spans="1:13" x14ac:dyDescent="0.3">
      <c r="A14" s="37">
        <v>2</v>
      </c>
      <c r="B14" s="46">
        <f ca="1">IFERROR(VLOOKUP($A14,ClassGrupFases!$C$15:$Q$22,15,FALSE),"")</f>
        <v>2</v>
      </c>
      <c r="C14" s="47" t="str">
        <f ca="1">IFERROR(VLOOKUP($A14,ClassGrupFases!$C$15:$Q$22,2,FALSE),"")</f>
        <v>Teruel</v>
      </c>
      <c r="D14" s="48">
        <f ca="1">IFERROR(VLOOKUP($A14,ClassGrupFases!$C$15:$Q$22,3,FALSE),"")</f>
        <v>0.72222222222222221</v>
      </c>
      <c r="E14" s="49">
        <f ca="1">IFERROR(VLOOKUP($A14,ClassGrupFases!$C$15:$Q$22,4,FALSE),"")</f>
        <v>13</v>
      </c>
      <c r="F14" s="49">
        <f ca="1">IFERROR(VLOOKUP($A14,ClassGrupFases!$C$15:$Q$22,5,FALSE),"")</f>
        <v>6</v>
      </c>
      <c r="G14" s="49">
        <f ca="1">IFERROR(VLOOKUP($A14,ClassGrupFases!$C$15:$Q$22,6,FALSE),"")</f>
        <v>4</v>
      </c>
      <c r="H14" s="49">
        <f ca="1">IFERROR(VLOOKUP($A14,ClassGrupFases!$C$15:$Q$22,7,FALSE),"")</f>
        <v>1</v>
      </c>
      <c r="I14" s="49">
        <f ca="1">IFERROR(VLOOKUP($A14,ClassGrupFases!$C$15:$Q$22,8,FALSE),"")</f>
        <v>1</v>
      </c>
      <c r="J14" s="49">
        <f ca="1">IFERROR(VLOOKUP($A14,ClassGrupFases!$C$15:$Q$22,9,FALSE),"")</f>
        <v>11</v>
      </c>
      <c r="K14" s="49">
        <f ca="1">IFERROR(VLOOKUP($A14,ClassGrupFases!$C$15:$Q$22,10,FALSE),"")</f>
        <v>5</v>
      </c>
      <c r="L14" s="49">
        <f ca="1">IFERROR(VLOOKUP($A14,ClassGrupFases!$C$15:$Q$22,11,FALSE),"")</f>
        <v>6</v>
      </c>
      <c r="M14" s="41">
        <f ca="1">IFERROR(VLOOKUP($A14,ClassGrupFases!$C$15:$Q$22,1,FALSE),"")</f>
        <v>2</v>
      </c>
    </row>
    <row r="15" spans="1:13" x14ac:dyDescent="0.3">
      <c r="A15" s="37">
        <v>3</v>
      </c>
      <c r="B15" s="46">
        <f ca="1">IFERROR(VLOOKUP($A15,ClassGrupFases!$C$15:$Q$22,15,FALSE),"")</f>
        <v>3</v>
      </c>
      <c r="C15" s="47" t="str">
        <f ca="1">IFERROR(VLOOKUP($A15,ClassGrupFases!$C$15:$Q$22,2,FALSE),"")</f>
        <v>Elsio</v>
      </c>
      <c r="D15" s="48">
        <f ca="1">IFERROR(VLOOKUP($A15,ClassGrupFases!$C$15:$Q$22,3,FALSE),"")</f>
        <v>0.5</v>
      </c>
      <c r="E15" s="49">
        <f ca="1">IFERROR(VLOOKUP($A15,ClassGrupFases!$C$15:$Q$22,4,FALSE),"")</f>
        <v>9</v>
      </c>
      <c r="F15" s="49">
        <f ca="1">IFERROR(VLOOKUP($A15,ClassGrupFases!$C$15:$Q$22,5,FALSE),"")</f>
        <v>6</v>
      </c>
      <c r="G15" s="49">
        <f ca="1">IFERROR(VLOOKUP($A15,ClassGrupFases!$C$15:$Q$22,6,FALSE),"")</f>
        <v>2</v>
      </c>
      <c r="H15" s="49">
        <f ca="1">IFERROR(VLOOKUP($A15,ClassGrupFases!$C$15:$Q$22,7,FALSE),"")</f>
        <v>3</v>
      </c>
      <c r="I15" s="49">
        <f ca="1">IFERROR(VLOOKUP($A15,ClassGrupFases!$C$15:$Q$22,8,FALSE),"")</f>
        <v>1</v>
      </c>
      <c r="J15" s="49">
        <f ca="1">IFERROR(VLOOKUP($A15,ClassGrupFases!$C$15:$Q$22,9,FALSE),"")</f>
        <v>8</v>
      </c>
      <c r="K15" s="49">
        <f ca="1">IFERROR(VLOOKUP($A15,ClassGrupFases!$C$15:$Q$22,10,FALSE),"")</f>
        <v>8</v>
      </c>
      <c r="L15" s="49">
        <f ca="1">IFERROR(VLOOKUP($A15,ClassGrupFases!$C$15:$Q$22,11,FALSE),"")</f>
        <v>0</v>
      </c>
      <c r="M15" s="41">
        <f ca="1">IFERROR(VLOOKUP($A15,ClassGrupFases!$C$15:$Q$22,1,FALSE),"")</f>
        <v>3</v>
      </c>
    </row>
    <row r="16" spans="1:13" x14ac:dyDescent="0.3">
      <c r="A16" s="37">
        <v>4</v>
      </c>
      <c r="B16" s="46">
        <f ca="1">IFERROR(VLOOKUP($A16,ClassGrupFases!$C$15:$Q$22,15,FALSE),"")</f>
        <v>4</v>
      </c>
      <c r="C16" s="47" t="str">
        <f ca="1">IFERROR(VLOOKUP($A16,ClassGrupFases!$C$15:$Q$22,2,FALSE),"")</f>
        <v>Mario</v>
      </c>
      <c r="D16" s="48">
        <f ca="1">IFERROR(VLOOKUP($A16,ClassGrupFases!$C$15:$Q$22,3,FALSE),"")</f>
        <v>0.33333333333333331</v>
      </c>
      <c r="E16" s="49">
        <f ca="1">IFERROR(VLOOKUP($A16,ClassGrupFases!$C$15:$Q$22,4,FALSE),"")</f>
        <v>6</v>
      </c>
      <c r="F16" s="49">
        <f ca="1">IFERROR(VLOOKUP($A16,ClassGrupFases!$C$15:$Q$22,5,FALSE),"")</f>
        <v>6</v>
      </c>
      <c r="G16" s="49">
        <f ca="1">IFERROR(VLOOKUP($A16,ClassGrupFases!$C$15:$Q$22,6,FALSE),"")</f>
        <v>1</v>
      </c>
      <c r="H16" s="49">
        <f ca="1">IFERROR(VLOOKUP($A16,ClassGrupFases!$C$15:$Q$22,7,FALSE),"")</f>
        <v>3</v>
      </c>
      <c r="I16" s="49">
        <f ca="1">IFERROR(VLOOKUP($A16,ClassGrupFases!$C$15:$Q$22,8,FALSE),"")</f>
        <v>2</v>
      </c>
      <c r="J16" s="49">
        <f ca="1">IFERROR(VLOOKUP($A16,ClassGrupFases!$C$15:$Q$22,9,FALSE),"")</f>
        <v>4</v>
      </c>
      <c r="K16" s="49">
        <f ca="1">IFERROR(VLOOKUP($A16,ClassGrupFases!$C$15:$Q$22,10,FALSE),"")</f>
        <v>10</v>
      </c>
      <c r="L16" s="49">
        <f ca="1">IFERROR(VLOOKUP($A16,ClassGrupFases!$C$15:$Q$22,11,FALSE),"")</f>
        <v>-6</v>
      </c>
      <c r="M16" s="41">
        <f ca="1">IFERROR(VLOOKUP($A16,ClassGrupFases!$C$15:$Q$22,1,FALSE),"")</f>
        <v>4</v>
      </c>
    </row>
    <row r="17" spans="1:13" x14ac:dyDescent="0.3">
      <c r="A17" s="37">
        <v>5</v>
      </c>
      <c r="B17" s="46">
        <f ca="1">IFERROR(VLOOKUP($A17,ClassGrupFases!$C$15:$Q$22,15,FALSE),"")</f>
        <v>5</v>
      </c>
      <c r="C17" s="47" t="str">
        <f ca="1">IFERROR(VLOOKUP($A17,ClassGrupFases!$C$15:$Q$22,2,FALSE),"")</f>
        <v>Tupinamba</v>
      </c>
      <c r="D17" s="48">
        <f ca="1">IFERROR(VLOOKUP($A17,ClassGrupFases!$C$15:$Q$22,3,FALSE),"")</f>
        <v>0.27777777777777779</v>
      </c>
      <c r="E17" s="49">
        <f ca="1">IFERROR(VLOOKUP($A17,ClassGrupFases!$C$15:$Q$22,4,FALSE),"")</f>
        <v>5</v>
      </c>
      <c r="F17" s="49">
        <f ca="1">IFERROR(VLOOKUP($A17,ClassGrupFases!$C$15:$Q$22,5,FALSE),"")</f>
        <v>6</v>
      </c>
      <c r="G17" s="49">
        <f ca="1">IFERROR(VLOOKUP($A17,ClassGrupFases!$C$15:$Q$22,6,FALSE),"")</f>
        <v>1</v>
      </c>
      <c r="H17" s="49">
        <f ca="1">IFERROR(VLOOKUP($A17,ClassGrupFases!$C$15:$Q$22,7,FALSE),"")</f>
        <v>2</v>
      </c>
      <c r="I17" s="49">
        <f ca="1">IFERROR(VLOOKUP($A17,ClassGrupFases!$C$15:$Q$22,8,FALSE),"")</f>
        <v>3</v>
      </c>
      <c r="J17" s="49">
        <f ca="1">IFERROR(VLOOKUP($A17,ClassGrupFases!$C$15:$Q$22,9,FALSE),"")</f>
        <v>3</v>
      </c>
      <c r="K17" s="49">
        <f ca="1">IFERROR(VLOOKUP($A17,ClassGrupFases!$C$15:$Q$22,10,FALSE),"")</f>
        <v>10</v>
      </c>
      <c r="L17" s="49">
        <f ca="1">IFERROR(VLOOKUP($A17,ClassGrupFases!$C$15:$Q$22,11,FALSE),"")</f>
        <v>-7</v>
      </c>
      <c r="M17" s="41">
        <f ca="1">IFERROR(VLOOKUP($A17,ClassGrupFases!$C$15:$Q$22,1,FALSE),"")</f>
        <v>5</v>
      </c>
    </row>
    <row r="18" spans="1:13" x14ac:dyDescent="0.3">
      <c r="A18" s="37">
        <v>6</v>
      </c>
      <c r="B18" s="46">
        <f ca="1">IFERROR(VLOOKUP($A18,ClassGrupFases!$C$15:$Q$22,15,FALSE),"")</f>
        <v>6</v>
      </c>
      <c r="C18" s="47" t="str">
        <f ca="1">IFERROR(VLOOKUP($A18,ClassGrupFases!$C$15:$Q$22,2,FALSE),"")</f>
        <v>Léo Carioca</v>
      </c>
      <c r="D18" s="48">
        <f ca="1">IFERROR(VLOOKUP($A18,ClassGrupFases!$C$15:$Q$22,3,FALSE),"")</f>
        <v>0.22222222222222221</v>
      </c>
      <c r="E18" s="49">
        <f ca="1">IFERROR(VLOOKUP($A18,ClassGrupFases!$C$15:$Q$22,4,FALSE),"")</f>
        <v>4</v>
      </c>
      <c r="F18" s="49">
        <f ca="1">IFERROR(VLOOKUP($A18,ClassGrupFases!$C$15:$Q$22,5,FALSE),"")</f>
        <v>6</v>
      </c>
      <c r="G18" s="49">
        <f ca="1">IFERROR(VLOOKUP($A18,ClassGrupFases!$C$15:$Q$22,6,FALSE),"")</f>
        <v>1</v>
      </c>
      <c r="H18" s="49">
        <f ca="1">IFERROR(VLOOKUP($A18,ClassGrupFases!$C$15:$Q$22,7,FALSE),"")</f>
        <v>1</v>
      </c>
      <c r="I18" s="49">
        <f ca="1">IFERROR(VLOOKUP($A18,ClassGrupFases!$C$15:$Q$22,8,FALSE),"")</f>
        <v>4</v>
      </c>
      <c r="J18" s="49">
        <f ca="1">IFERROR(VLOOKUP($A18,ClassGrupFases!$C$15:$Q$22,9,FALSE),"")</f>
        <v>3</v>
      </c>
      <c r="K18" s="49">
        <f ca="1">IFERROR(VLOOKUP($A18,ClassGrupFases!$C$15:$Q$22,10,FALSE),"")</f>
        <v>8</v>
      </c>
      <c r="L18" s="49">
        <f ca="1">IFERROR(VLOOKUP($A18,ClassGrupFases!$C$15:$Q$22,11,FALSE),"")</f>
        <v>-5</v>
      </c>
      <c r="M18" s="41">
        <f ca="1">IFERROR(VLOOKUP($A18,ClassGrupFases!$C$15:$Q$22,1,FALSE),"")</f>
        <v>6</v>
      </c>
    </row>
    <row r="19" spans="1:13" x14ac:dyDescent="0.3">
      <c r="A19" s="37">
        <v>7</v>
      </c>
      <c r="B19" s="50">
        <f ca="1">IFERROR(VLOOKUP($A19,ClassGrupFases!$C$15:$Q$22,15,FALSE),"")</f>
        <v>7</v>
      </c>
      <c r="C19" s="51" t="str">
        <f ca="1">IFERROR(VLOOKUP($A19,ClassGrupFases!$C$15:$Q$22,2,FALSE),"")</f>
        <v>Reginaldo</v>
      </c>
      <c r="D19" s="52">
        <f ca="1">IFERROR(VLOOKUP($A19,ClassGrupFases!$C$15:$Q$22,3,FALSE),"")</f>
        <v>0.16666666666666666</v>
      </c>
      <c r="E19" s="53">
        <f ca="1">IFERROR(VLOOKUP($A19,ClassGrupFases!$C$15:$Q$22,4,FALSE),"")</f>
        <v>3</v>
      </c>
      <c r="F19" s="53">
        <f ca="1">IFERROR(VLOOKUP($A19,ClassGrupFases!$C$15:$Q$22,5,FALSE),"")</f>
        <v>6</v>
      </c>
      <c r="G19" s="53">
        <f ca="1">IFERROR(VLOOKUP($A19,ClassGrupFases!$C$15:$Q$22,6,FALSE),"")</f>
        <v>1</v>
      </c>
      <c r="H19" s="53">
        <f ca="1">IFERROR(VLOOKUP($A19,ClassGrupFases!$C$15:$Q$22,7,FALSE),"")</f>
        <v>0</v>
      </c>
      <c r="I19" s="53">
        <f ca="1">IFERROR(VLOOKUP($A19,ClassGrupFases!$C$15:$Q$22,8,FALSE),"")</f>
        <v>5</v>
      </c>
      <c r="J19" s="53">
        <f ca="1">IFERROR(VLOOKUP($A19,ClassGrupFases!$C$15:$Q$22,9,FALSE),"")</f>
        <v>6</v>
      </c>
      <c r="K19" s="53">
        <f ca="1">IFERROR(VLOOKUP($A19,ClassGrupFases!$C$15:$Q$22,10,FALSE),"")</f>
        <v>10</v>
      </c>
      <c r="L19" s="53">
        <f ca="1">IFERROR(VLOOKUP($A19,ClassGrupFases!$C$15:$Q$22,11,FALSE),"")</f>
        <v>-4</v>
      </c>
      <c r="M19" s="41">
        <f ca="1">IFERROR(VLOOKUP($A19,ClassGrupFases!$C$15:$Q$22,1,FALSE),"")</f>
        <v>7</v>
      </c>
    </row>
    <row r="21" spans="1:13" x14ac:dyDescent="0.3">
      <c r="B21" s="43" t="s">
        <v>24</v>
      </c>
      <c r="C21" s="44" t="s">
        <v>33</v>
      </c>
      <c r="D21" s="45" t="s">
        <v>34</v>
      </c>
      <c r="E21" s="45" t="s">
        <v>35</v>
      </c>
      <c r="F21" s="45" t="s">
        <v>13</v>
      </c>
      <c r="G21" s="45" t="s">
        <v>14</v>
      </c>
      <c r="H21" s="45" t="s">
        <v>15</v>
      </c>
      <c r="I21" s="45" t="s">
        <v>16</v>
      </c>
      <c r="J21" s="45" t="s">
        <v>36</v>
      </c>
      <c r="K21" s="45" t="s">
        <v>37</v>
      </c>
      <c r="L21" s="45" t="s">
        <v>38</v>
      </c>
    </row>
    <row r="22" spans="1:13" x14ac:dyDescent="0.3">
      <c r="A22" s="37">
        <v>1</v>
      </c>
      <c r="B22" s="46">
        <f ca="1">IFERROR(VLOOKUP($A22,ClassGrupFases!$C$24:$Q$31,15,FALSE),"")</f>
        <v>1</v>
      </c>
      <c r="C22" s="47" t="str">
        <f ca="1">IFERROR(VLOOKUP($A22,ClassGrupFases!$C$24:$Q$31,2,FALSE),"")</f>
        <v>Vinicius Rolim</v>
      </c>
      <c r="D22" s="48">
        <f ca="1">IFERROR(VLOOKUP($A22,ClassGrupFases!$C$24:$Q$31,3,FALSE),"")</f>
        <v>0.77777777777777779</v>
      </c>
      <c r="E22" s="49">
        <f ca="1">IFERROR(VLOOKUP($A22,ClassGrupFases!$C$24:$Q$31,4,FALSE),"")</f>
        <v>14</v>
      </c>
      <c r="F22" s="49">
        <f ca="1">IFERROR(VLOOKUP($A22,ClassGrupFases!$C$24:$Q$31,5,FALSE),"")</f>
        <v>6</v>
      </c>
      <c r="G22" s="49">
        <f ca="1">IFERROR(VLOOKUP($A22,ClassGrupFases!$C$24:$Q$31,6,FALSE),"")</f>
        <v>4</v>
      </c>
      <c r="H22" s="49">
        <f ca="1">IFERROR(VLOOKUP($A22,ClassGrupFases!$C$24:$Q$31,7,FALSE),"")</f>
        <v>2</v>
      </c>
      <c r="I22" s="49">
        <f ca="1">IFERROR(VLOOKUP($A22,ClassGrupFases!$C$24:$Q$31,8,FALSE),"")</f>
        <v>0</v>
      </c>
      <c r="J22" s="49">
        <f ca="1">IFERROR(VLOOKUP($A22,ClassGrupFases!$C$24:$Q$31,9,FALSE),"")</f>
        <v>18</v>
      </c>
      <c r="K22" s="49">
        <f ca="1">IFERROR(VLOOKUP($A22,ClassGrupFases!$C$24:$Q$31,10,FALSE),"")</f>
        <v>9</v>
      </c>
      <c r="L22" s="49">
        <f ca="1">IFERROR(VLOOKUP($A22,ClassGrupFases!$C$24:$Q$31,11,FALSE),"")</f>
        <v>9</v>
      </c>
      <c r="M22" s="41">
        <f ca="1">IFERROR(VLOOKUP($A22,ClassGrupFases!$C$24:$Q$31,1,FALSE),"")</f>
        <v>1</v>
      </c>
    </row>
    <row r="23" spans="1:13" x14ac:dyDescent="0.3">
      <c r="A23" s="37">
        <v>2</v>
      </c>
      <c r="B23" s="46">
        <f ca="1">IFERROR(VLOOKUP($A23,ClassGrupFases!$C$24:$Q$31,15,FALSE),"")</f>
        <v>2</v>
      </c>
      <c r="C23" s="47" t="str">
        <f ca="1">IFERROR(VLOOKUP($A23,ClassGrupFases!$C$24:$Q$31,2,FALSE),"")</f>
        <v xml:space="preserve">Marcão </v>
      </c>
      <c r="D23" s="48">
        <f ca="1">IFERROR(VLOOKUP($A23,ClassGrupFases!$C$24:$Q$31,3,FALSE),"")</f>
        <v>0.66666666666666663</v>
      </c>
      <c r="E23" s="49">
        <f ca="1">IFERROR(VLOOKUP($A23,ClassGrupFases!$C$24:$Q$31,4,FALSE),"")</f>
        <v>12</v>
      </c>
      <c r="F23" s="49">
        <f ca="1">IFERROR(VLOOKUP($A23,ClassGrupFases!$C$24:$Q$31,5,FALSE),"")</f>
        <v>6</v>
      </c>
      <c r="G23" s="49">
        <f ca="1">IFERROR(VLOOKUP($A23,ClassGrupFases!$C$24:$Q$31,6,FALSE),"")</f>
        <v>3</v>
      </c>
      <c r="H23" s="49">
        <f ca="1">IFERROR(VLOOKUP($A23,ClassGrupFases!$C$24:$Q$31,7,FALSE),"")</f>
        <v>3</v>
      </c>
      <c r="I23" s="49">
        <f ca="1">IFERROR(VLOOKUP($A23,ClassGrupFases!$C$24:$Q$31,8,FALSE),"")</f>
        <v>0</v>
      </c>
      <c r="J23" s="49">
        <f ca="1">IFERROR(VLOOKUP($A23,ClassGrupFases!$C$24:$Q$31,9,FALSE),"")</f>
        <v>15</v>
      </c>
      <c r="K23" s="49">
        <f ca="1">IFERROR(VLOOKUP($A23,ClassGrupFases!$C$24:$Q$31,10,FALSE),"")</f>
        <v>11</v>
      </c>
      <c r="L23" s="49">
        <f ca="1">IFERROR(VLOOKUP($A23,ClassGrupFases!$C$24:$Q$31,11,FALSE),"")</f>
        <v>4</v>
      </c>
      <c r="M23" s="41">
        <f ca="1">IFERROR(VLOOKUP($A23,ClassGrupFases!$C$24:$Q$31,1,FALSE),"")</f>
        <v>2</v>
      </c>
    </row>
    <row r="24" spans="1:13" x14ac:dyDescent="0.3">
      <c r="A24" s="37">
        <v>3</v>
      </c>
      <c r="B24" s="46">
        <f ca="1">IFERROR(VLOOKUP($A24,ClassGrupFases!$C$24:$Q$31,15,FALSE),"")</f>
        <v>3</v>
      </c>
      <c r="C24" s="47" t="str">
        <f ca="1">IFERROR(VLOOKUP($A24,ClassGrupFases!$C$24:$Q$31,2,FALSE),"")</f>
        <v>Rodrigo Moro</v>
      </c>
      <c r="D24" s="48">
        <f ca="1">IFERROR(VLOOKUP($A24,ClassGrupFases!$C$24:$Q$31,3,FALSE),"")</f>
        <v>0.55555555555555558</v>
      </c>
      <c r="E24" s="49">
        <f ca="1">IFERROR(VLOOKUP($A24,ClassGrupFases!$C$24:$Q$31,4,FALSE),"")</f>
        <v>10</v>
      </c>
      <c r="F24" s="49">
        <f ca="1">IFERROR(VLOOKUP($A24,ClassGrupFases!$C$24:$Q$31,5,FALSE),"")</f>
        <v>6</v>
      </c>
      <c r="G24" s="49">
        <f ca="1">IFERROR(VLOOKUP($A24,ClassGrupFases!$C$24:$Q$31,6,FALSE),"")</f>
        <v>3</v>
      </c>
      <c r="H24" s="49">
        <f ca="1">IFERROR(VLOOKUP($A24,ClassGrupFases!$C$24:$Q$31,7,FALSE),"")</f>
        <v>1</v>
      </c>
      <c r="I24" s="49">
        <f ca="1">IFERROR(VLOOKUP($A24,ClassGrupFases!$C$24:$Q$31,8,FALSE),"")</f>
        <v>2</v>
      </c>
      <c r="J24" s="49">
        <f ca="1">IFERROR(VLOOKUP($A24,ClassGrupFases!$C$24:$Q$31,9,FALSE),"")</f>
        <v>14</v>
      </c>
      <c r="K24" s="49">
        <f ca="1">IFERROR(VLOOKUP($A24,ClassGrupFases!$C$24:$Q$31,10,FALSE),"")</f>
        <v>11</v>
      </c>
      <c r="L24" s="49">
        <f ca="1">IFERROR(VLOOKUP($A24,ClassGrupFases!$C$24:$Q$31,11,FALSE),"")</f>
        <v>3</v>
      </c>
      <c r="M24" s="41">
        <f ca="1">IFERROR(VLOOKUP($A24,ClassGrupFases!$C$24:$Q$31,1,FALSE),"")</f>
        <v>3</v>
      </c>
    </row>
    <row r="25" spans="1:13" x14ac:dyDescent="0.3">
      <c r="A25" s="37">
        <v>4</v>
      </c>
      <c r="B25" s="46">
        <f ca="1">IFERROR(VLOOKUP($A25,ClassGrupFases!$C$24:$Q$31,15,FALSE),"")</f>
        <v>4</v>
      </c>
      <c r="C25" s="47" t="str">
        <f ca="1">IFERROR(VLOOKUP($A25,ClassGrupFases!$C$24:$Q$31,2,FALSE),"")</f>
        <v>Diogo</v>
      </c>
      <c r="D25" s="48">
        <f ca="1">IFERROR(VLOOKUP($A25,ClassGrupFases!$C$24:$Q$31,3,FALSE),"")</f>
        <v>0.3888888888888889</v>
      </c>
      <c r="E25" s="49">
        <f ca="1">IFERROR(VLOOKUP($A25,ClassGrupFases!$C$24:$Q$31,4,FALSE),"")</f>
        <v>7</v>
      </c>
      <c r="F25" s="49">
        <f ca="1">IFERROR(VLOOKUP($A25,ClassGrupFases!$C$24:$Q$31,5,FALSE),"")</f>
        <v>6</v>
      </c>
      <c r="G25" s="49">
        <f ca="1">IFERROR(VLOOKUP($A25,ClassGrupFases!$C$24:$Q$31,6,FALSE),"")</f>
        <v>2</v>
      </c>
      <c r="H25" s="49">
        <f ca="1">IFERROR(VLOOKUP($A25,ClassGrupFases!$C$24:$Q$31,7,FALSE),"")</f>
        <v>1</v>
      </c>
      <c r="I25" s="49">
        <f ca="1">IFERROR(VLOOKUP($A25,ClassGrupFases!$C$24:$Q$31,8,FALSE),"")</f>
        <v>3</v>
      </c>
      <c r="J25" s="49">
        <f ca="1">IFERROR(VLOOKUP($A25,ClassGrupFases!$C$24:$Q$31,9,FALSE),"")</f>
        <v>16</v>
      </c>
      <c r="K25" s="49">
        <f ca="1">IFERROR(VLOOKUP($A25,ClassGrupFases!$C$24:$Q$31,10,FALSE),"")</f>
        <v>18</v>
      </c>
      <c r="L25" s="49">
        <f ca="1">IFERROR(VLOOKUP($A25,ClassGrupFases!$C$24:$Q$31,11,FALSE),"")</f>
        <v>-2</v>
      </c>
      <c r="M25" s="41">
        <f ca="1">IFERROR(VLOOKUP($A25,ClassGrupFases!$C$24:$Q$31,1,FALSE),"")</f>
        <v>4</v>
      </c>
    </row>
    <row r="26" spans="1:13" x14ac:dyDescent="0.3">
      <c r="A26" s="37">
        <v>5</v>
      </c>
      <c r="B26" s="46">
        <f ca="1">IFERROR(VLOOKUP($A26,ClassGrupFases!$C$24:$Q$31,15,FALSE),"")</f>
        <v>5</v>
      </c>
      <c r="C26" s="47" t="str">
        <f ca="1">IFERROR(VLOOKUP($A26,ClassGrupFases!$C$24:$Q$31,2,FALSE),"")</f>
        <v>Erismar</v>
      </c>
      <c r="D26" s="48">
        <f ca="1">IFERROR(VLOOKUP($A26,ClassGrupFases!$C$24:$Q$31,3,FALSE),"")</f>
        <v>0.3888888888888889</v>
      </c>
      <c r="E26" s="49">
        <f ca="1">IFERROR(VLOOKUP($A26,ClassGrupFases!$C$24:$Q$31,4,FALSE),"")</f>
        <v>7</v>
      </c>
      <c r="F26" s="49">
        <f ca="1">IFERROR(VLOOKUP($A26,ClassGrupFases!$C$24:$Q$31,5,FALSE),"")</f>
        <v>6</v>
      </c>
      <c r="G26" s="49">
        <f ca="1">IFERROR(VLOOKUP($A26,ClassGrupFases!$C$24:$Q$31,6,FALSE),"")</f>
        <v>2</v>
      </c>
      <c r="H26" s="49">
        <f ca="1">IFERROR(VLOOKUP($A26,ClassGrupFases!$C$24:$Q$31,7,FALSE),"")</f>
        <v>1</v>
      </c>
      <c r="I26" s="49">
        <f ca="1">IFERROR(VLOOKUP($A26,ClassGrupFases!$C$24:$Q$31,8,FALSE),"")</f>
        <v>3</v>
      </c>
      <c r="J26" s="49">
        <f ca="1">IFERROR(VLOOKUP($A26,ClassGrupFases!$C$24:$Q$31,9,FALSE),"")</f>
        <v>7</v>
      </c>
      <c r="K26" s="49">
        <f ca="1">IFERROR(VLOOKUP($A26,ClassGrupFases!$C$24:$Q$31,10,FALSE),"")</f>
        <v>9</v>
      </c>
      <c r="L26" s="49">
        <f ca="1">IFERROR(VLOOKUP($A26,ClassGrupFases!$C$24:$Q$31,11,FALSE),"")</f>
        <v>-2</v>
      </c>
      <c r="M26" s="41">
        <f ca="1">IFERROR(VLOOKUP($A26,ClassGrupFases!$C$24:$Q$31,1,FALSE),"")</f>
        <v>5</v>
      </c>
    </row>
    <row r="27" spans="1:13" x14ac:dyDescent="0.3">
      <c r="A27" s="37">
        <v>6</v>
      </c>
      <c r="B27" s="46">
        <f ca="1">IFERROR(VLOOKUP($A27,ClassGrupFases!$C$24:$Q$31,15,FALSE),"")</f>
        <v>6</v>
      </c>
      <c r="C27" s="47" t="str">
        <f ca="1">IFERROR(VLOOKUP($A27,ClassGrupFases!$C$24:$Q$31,2,FALSE),"")</f>
        <v>Professor</v>
      </c>
      <c r="D27" s="48">
        <f ca="1">IFERROR(VLOOKUP($A27,ClassGrupFases!$C$24:$Q$31,3,FALSE),"")</f>
        <v>0.3888888888888889</v>
      </c>
      <c r="E27" s="49">
        <f ca="1">IFERROR(VLOOKUP($A27,ClassGrupFases!$C$24:$Q$31,4,FALSE),"")</f>
        <v>7</v>
      </c>
      <c r="F27" s="49">
        <f ca="1">IFERROR(VLOOKUP($A27,ClassGrupFases!$C$24:$Q$31,5,FALSE),"")</f>
        <v>6</v>
      </c>
      <c r="G27" s="49">
        <f ca="1">IFERROR(VLOOKUP($A27,ClassGrupFases!$C$24:$Q$31,6,FALSE),"")</f>
        <v>2</v>
      </c>
      <c r="H27" s="49">
        <f ca="1">IFERROR(VLOOKUP($A27,ClassGrupFases!$C$24:$Q$31,7,FALSE),"")</f>
        <v>1</v>
      </c>
      <c r="I27" s="49">
        <f ca="1">IFERROR(VLOOKUP($A27,ClassGrupFases!$C$24:$Q$31,8,FALSE),"")</f>
        <v>3</v>
      </c>
      <c r="J27" s="49">
        <f ca="1">IFERROR(VLOOKUP($A27,ClassGrupFases!$C$24:$Q$31,9,FALSE),"")</f>
        <v>4</v>
      </c>
      <c r="K27" s="49">
        <f ca="1">IFERROR(VLOOKUP($A27,ClassGrupFases!$C$24:$Q$31,10,FALSE),"")</f>
        <v>9</v>
      </c>
      <c r="L27" s="49">
        <f ca="1">IFERROR(VLOOKUP($A27,ClassGrupFases!$C$24:$Q$31,11,FALSE),"")</f>
        <v>-5</v>
      </c>
      <c r="M27" s="41">
        <f ca="1">IFERROR(VLOOKUP($A27,ClassGrupFases!$C$24:$Q$31,1,FALSE),"")</f>
        <v>6</v>
      </c>
    </row>
    <row r="28" spans="1:13" x14ac:dyDescent="0.3">
      <c r="A28" s="37">
        <v>7</v>
      </c>
      <c r="B28" s="50">
        <f ca="1">IFERROR(VLOOKUP($A28,ClassGrupFases!$C$24:$Q$31,15,FALSE),"")</f>
        <v>7</v>
      </c>
      <c r="C28" s="51" t="str">
        <f ca="1">IFERROR(VLOOKUP($A28,ClassGrupFases!$C$24:$Q$31,2,FALSE),"")</f>
        <v>Felix</v>
      </c>
      <c r="D28" s="52">
        <f ca="1">IFERROR(VLOOKUP($A28,ClassGrupFases!$C$24:$Q$31,3,FALSE),"")</f>
        <v>5.5555555555555552E-2</v>
      </c>
      <c r="E28" s="53">
        <f ca="1">IFERROR(VLOOKUP($A28,ClassGrupFases!$C$24:$Q$31,4,FALSE),"")</f>
        <v>1</v>
      </c>
      <c r="F28" s="53">
        <f ca="1">IFERROR(VLOOKUP($A28,ClassGrupFases!$C$24:$Q$31,5,FALSE),"")</f>
        <v>6</v>
      </c>
      <c r="G28" s="53">
        <f ca="1">IFERROR(VLOOKUP($A28,ClassGrupFases!$C$24:$Q$31,6,FALSE),"")</f>
        <v>0</v>
      </c>
      <c r="H28" s="53">
        <f ca="1">IFERROR(VLOOKUP($A28,ClassGrupFases!$C$24:$Q$31,7,FALSE),"")</f>
        <v>1</v>
      </c>
      <c r="I28" s="53">
        <f ca="1">IFERROR(VLOOKUP($A28,ClassGrupFases!$C$24:$Q$31,8,FALSE),"")</f>
        <v>5</v>
      </c>
      <c r="J28" s="53">
        <f ca="1">IFERROR(VLOOKUP($A28,ClassGrupFases!$C$24:$Q$31,9,FALSE),"")</f>
        <v>4</v>
      </c>
      <c r="K28" s="53">
        <f ca="1">IFERROR(VLOOKUP($A28,ClassGrupFases!$C$24:$Q$31,10,FALSE),"")</f>
        <v>11</v>
      </c>
      <c r="L28" s="53">
        <f ca="1">IFERROR(VLOOKUP($A28,ClassGrupFases!$C$24:$Q$31,11,FALSE),"")</f>
        <v>-7</v>
      </c>
      <c r="M28" s="41">
        <f ca="1">IFERROR(VLOOKUP($A28,ClassGrupFases!$C$24:$Q$31,1,FALSE),"")</f>
        <v>7</v>
      </c>
    </row>
    <row r="30" spans="1:13" x14ac:dyDescent="0.3">
      <c r="B30" s="43" t="s">
        <v>16</v>
      </c>
      <c r="C30" s="44" t="s">
        <v>33</v>
      </c>
      <c r="D30" s="45" t="s">
        <v>34</v>
      </c>
      <c r="E30" s="45" t="s">
        <v>35</v>
      </c>
      <c r="F30" s="45" t="s">
        <v>13</v>
      </c>
      <c r="G30" s="45" t="s">
        <v>14</v>
      </c>
      <c r="H30" s="45" t="s">
        <v>15</v>
      </c>
      <c r="I30" s="45" t="s">
        <v>16</v>
      </c>
      <c r="J30" s="45" t="s">
        <v>36</v>
      </c>
      <c r="K30" s="45" t="s">
        <v>37</v>
      </c>
      <c r="L30" s="45" t="s">
        <v>38</v>
      </c>
    </row>
    <row r="31" spans="1:13" x14ac:dyDescent="0.3">
      <c r="A31" s="37">
        <v>1</v>
      </c>
      <c r="B31" s="46">
        <f ca="1">IFERROR(VLOOKUP($A31,ClassGrupFases!$C$33:$Q$40,15,FALSE),"")</f>
        <v>1</v>
      </c>
      <c r="C31" s="47" t="str">
        <f ca="1">IFERROR(VLOOKUP($A31,ClassGrupFases!$C$33:$Q$40,2,FALSE),"")</f>
        <v>Tabajara</v>
      </c>
      <c r="D31" s="48">
        <f ca="1">IFERROR(VLOOKUP($A31,ClassGrupFases!$C$33:$Q$40,3,FALSE),"")</f>
        <v>0.88888888888888884</v>
      </c>
      <c r="E31" s="49">
        <f ca="1">IFERROR(VLOOKUP($A31,ClassGrupFases!$C$33:$Q$40,4,FALSE),"")</f>
        <v>16</v>
      </c>
      <c r="F31" s="49">
        <f ca="1">IFERROR(VLOOKUP($A31,ClassGrupFases!$C$33:$Q$40,5,FALSE),"")</f>
        <v>6</v>
      </c>
      <c r="G31" s="49">
        <f ca="1">IFERROR(VLOOKUP($A31,ClassGrupFases!$C$33:$Q$40,6,FALSE),"")</f>
        <v>5</v>
      </c>
      <c r="H31" s="49">
        <f ca="1">IFERROR(VLOOKUP($A31,ClassGrupFases!$C$33:$Q$40,7,FALSE),"")</f>
        <v>1</v>
      </c>
      <c r="I31" s="49">
        <f ca="1">IFERROR(VLOOKUP($A31,ClassGrupFases!$C$33:$Q$40,8,FALSE),"")</f>
        <v>0</v>
      </c>
      <c r="J31" s="49">
        <f ca="1">IFERROR(VLOOKUP($A31,ClassGrupFases!$C$33:$Q$40,9,FALSE),"")</f>
        <v>15</v>
      </c>
      <c r="K31" s="49">
        <f ca="1">IFERROR(VLOOKUP($A31,ClassGrupFases!$C$33:$Q$40,10,FALSE),"")</f>
        <v>2</v>
      </c>
      <c r="L31" s="49">
        <f ca="1">IFERROR(VLOOKUP($A31,ClassGrupFases!$C$33:$Q$40,11,FALSE),"")</f>
        <v>13</v>
      </c>
      <c r="M31" s="41">
        <f ca="1">IFERROR(VLOOKUP($A31,ClassGrupFases!$C$33:$Q$40,1,FALSE),"")</f>
        <v>1</v>
      </c>
    </row>
    <row r="32" spans="1:13" x14ac:dyDescent="0.3">
      <c r="A32" s="37">
        <v>2</v>
      </c>
      <c r="B32" s="46">
        <f ca="1">IFERROR(VLOOKUP($A32,ClassGrupFases!$C$33:$Q$40,15,FALSE),"")</f>
        <v>2</v>
      </c>
      <c r="C32" s="47" t="str">
        <f ca="1">IFERROR(VLOOKUP($A32,ClassGrupFases!$C$33:$Q$40,2,FALSE),"")</f>
        <v>Galdeano</v>
      </c>
      <c r="D32" s="48">
        <f ca="1">IFERROR(VLOOKUP($A32,ClassGrupFases!$C$33:$Q$40,3,FALSE),"")</f>
        <v>0.66666666666666663</v>
      </c>
      <c r="E32" s="49">
        <f ca="1">IFERROR(VLOOKUP($A32,ClassGrupFases!$C$33:$Q$40,4,FALSE),"")</f>
        <v>12</v>
      </c>
      <c r="F32" s="49">
        <f ca="1">IFERROR(VLOOKUP($A32,ClassGrupFases!$C$33:$Q$40,5,FALSE),"")</f>
        <v>6</v>
      </c>
      <c r="G32" s="49">
        <f ca="1">IFERROR(VLOOKUP($A32,ClassGrupFases!$C$33:$Q$40,6,FALSE),"")</f>
        <v>4</v>
      </c>
      <c r="H32" s="49">
        <f ca="1">IFERROR(VLOOKUP($A32,ClassGrupFases!$C$33:$Q$40,7,FALSE),"")</f>
        <v>0</v>
      </c>
      <c r="I32" s="49">
        <f ca="1">IFERROR(VLOOKUP($A32,ClassGrupFases!$C$33:$Q$40,8,FALSE),"")</f>
        <v>2</v>
      </c>
      <c r="J32" s="49">
        <f ca="1">IFERROR(VLOOKUP($A32,ClassGrupFases!$C$33:$Q$40,9,FALSE),"")</f>
        <v>14</v>
      </c>
      <c r="K32" s="49">
        <f ca="1">IFERROR(VLOOKUP($A32,ClassGrupFases!$C$33:$Q$40,10,FALSE),"")</f>
        <v>8</v>
      </c>
      <c r="L32" s="49">
        <f ca="1">IFERROR(VLOOKUP($A32,ClassGrupFases!$C$33:$Q$40,11,FALSE),"")</f>
        <v>6</v>
      </c>
      <c r="M32" s="41">
        <f ca="1">IFERROR(VLOOKUP($A32,ClassGrupFases!$C$33:$Q$40,1,FALSE),"")</f>
        <v>2</v>
      </c>
    </row>
    <row r="33" spans="1:13" x14ac:dyDescent="0.3">
      <c r="A33" s="37">
        <v>3</v>
      </c>
      <c r="B33" s="46">
        <f ca="1">IFERROR(VLOOKUP($A33,ClassGrupFases!$C$33:$Q$40,15,FALSE),"")</f>
        <v>3</v>
      </c>
      <c r="C33" s="47" t="str">
        <f ca="1">IFERROR(VLOOKUP($A33,ClassGrupFases!$C$33:$Q$40,2,FALSE),"")</f>
        <v>Mario Mili</v>
      </c>
      <c r="D33" s="48">
        <f ca="1">IFERROR(VLOOKUP($A33,ClassGrupFases!$C$33:$Q$40,3,FALSE),"")</f>
        <v>0.44444444444444442</v>
      </c>
      <c r="E33" s="49">
        <f ca="1">IFERROR(VLOOKUP($A33,ClassGrupFases!$C$33:$Q$40,4,FALSE),"")</f>
        <v>8</v>
      </c>
      <c r="F33" s="49">
        <f ca="1">IFERROR(VLOOKUP($A33,ClassGrupFases!$C$33:$Q$40,5,FALSE),"")</f>
        <v>6</v>
      </c>
      <c r="G33" s="49">
        <f ca="1">IFERROR(VLOOKUP($A33,ClassGrupFases!$C$33:$Q$40,6,FALSE),"")</f>
        <v>2</v>
      </c>
      <c r="H33" s="49">
        <f ca="1">IFERROR(VLOOKUP($A33,ClassGrupFases!$C$33:$Q$40,7,FALSE),"")</f>
        <v>2</v>
      </c>
      <c r="I33" s="49">
        <f ca="1">IFERROR(VLOOKUP($A33,ClassGrupFases!$C$33:$Q$40,8,FALSE),"")</f>
        <v>2</v>
      </c>
      <c r="J33" s="49">
        <f ca="1">IFERROR(VLOOKUP($A33,ClassGrupFases!$C$33:$Q$40,9,FALSE),"")</f>
        <v>9</v>
      </c>
      <c r="K33" s="49">
        <f ca="1">IFERROR(VLOOKUP($A33,ClassGrupFases!$C$33:$Q$40,10,FALSE),"")</f>
        <v>6</v>
      </c>
      <c r="L33" s="49">
        <f ca="1">IFERROR(VLOOKUP($A33,ClassGrupFases!$C$33:$Q$40,11,FALSE),"")</f>
        <v>3</v>
      </c>
      <c r="M33" s="41">
        <f ca="1">IFERROR(VLOOKUP($A33,ClassGrupFases!$C$33:$Q$40,1,FALSE),"")</f>
        <v>3</v>
      </c>
    </row>
    <row r="34" spans="1:13" x14ac:dyDescent="0.3">
      <c r="A34" s="37">
        <v>4</v>
      </c>
      <c r="B34" s="46">
        <f ca="1">IFERROR(VLOOKUP($A34,ClassGrupFases!$C$33:$Q$40,15,FALSE),"")</f>
        <v>4</v>
      </c>
      <c r="C34" s="47" t="str">
        <f ca="1">IFERROR(VLOOKUP($A34,ClassGrupFases!$C$33:$Q$40,2,FALSE),"")</f>
        <v>Rafael Balieiro</v>
      </c>
      <c r="D34" s="48">
        <f ca="1">IFERROR(VLOOKUP($A34,ClassGrupFases!$C$33:$Q$40,3,FALSE),"")</f>
        <v>0.44444444444444442</v>
      </c>
      <c r="E34" s="49">
        <f ca="1">IFERROR(VLOOKUP($A34,ClassGrupFases!$C$33:$Q$40,4,FALSE),"")</f>
        <v>8</v>
      </c>
      <c r="F34" s="49">
        <f ca="1">IFERROR(VLOOKUP($A34,ClassGrupFases!$C$33:$Q$40,5,FALSE),"")</f>
        <v>6</v>
      </c>
      <c r="G34" s="49">
        <f ca="1">IFERROR(VLOOKUP($A34,ClassGrupFases!$C$33:$Q$40,6,FALSE),"")</f>
        <v>2</v>
      </c>
      <c r="H34" s="49">
        <f ca="1">IFERROR(VLOOKUP($A34,ClassGrupFases!$C$33:$Q$40,7,FALSE),"")</f>
        <v>2</v>
      </c>
      <c r="I34" s="49">
        <f ca="1">IFERROR(VLOOKUP($A34,ClassGrupFases!$C$33:$Q$40,8,FALSE),"")</f>
        <v>2</v>
      </c>
      <c r="J34" s="49">
        <f ca="1">IFERROR(VLOOKUP($A34,ClassGrupFases!$C$33:$Q$40,9,FALSE),"")</f>
        <v>6</v>
      </c>
      <c r="K34" s="49">
        <f ca="1">IFERROR(VLOOKUP($A34,ClassGrupFases!$C$33:$Q$40,10,FALSE),"")</f>
        <v>9</v>
      </c>
      <c r="L34" s="49">
        <f ca="1">IFERROR(VLOOKUP($A34,ClassGrupFases!$C$33:$Q$40,11,FALSE),"")</f>
        <v>-3</v>
      </c>
      <c r="M34" s="41">
        <f ca="1">IFERROR(VLOOKUP($A34,ClassGrupFases!$C$33:$Q$40,1,FALSE),"")</f>
        <v>4</v>
      </c>
    </row>
    <row r="35" spans="1:13" x14ac:dyDescent="0.3">
      <c r="A35" s="37">
        <v>5</v>
      </c>
      <c r="B35" s="46">
        <f ca="1">IFERROR(VLOOKUP($A35,ClassGrupFases!$C$33:$Q$40,15,FALSE),"")</f>
        <v>5</v>
      </c>
      <c r="C35" s="47" t="str">
        <f ca="1">IFERROR(VLOOKUP($A35,ClassGrupFases!$C$33:$Q$40,2,FALSE),"")</f>
        <v>Luiz Moreira</v>
      </c>
      <c r="D35" s="48">
        <f ca="1">IFERROR(VLOOKUP($A35,ClassGrupFases!$C$33:$Q$40,3,FALSE),"")</f>
        <v>0.44444444444444442</v>
      </c>
      <c r="E35" s="49">
        <f ca="1">IFERROR(VLOOKUP($A35,ClassGrupFases!$C$33:$Q$40,4,FALSE),"")</f>
        <v>8</v>
      </c>
      <c r="F35" s="49">
        <f ca="1">IFERROR(VLOOKUP($A35,ClassGrupFases!$C$33:$Q$40,5,FALSE),"")</f>
        <v>6</v>
      </c>
      <c r="G35" s="49">
        <f ca="1">IFERROR(VLOOKUP($A35,ClassGrupFases!$C$33:$Q$40,6,FALSE),"")</f>
        <v>2</v>
      </c>
      <c r="H35" s="49">
        <f ca="1">IFERROR(VLOOKUP($A35,ClassGrupFases!$C$33:$Q$40,7,FALSE),"")</f>
        <v>2</v>
      </c>
      <c r="I35" s="49">
        <f ca="1">IFERROR(VLOOKUP($A35,ClassGrupFases!$C$33:$Q$40,8,FALSE),"")</f>
        <v>2</v>
      </c>
      <c r="J35" s="49">
        <f ca="1">IFERROR(VLOOKUP($A35,ClassGrupFases!$C$33:$Q$40,9,FALSE),"")</f>
        <v>3</v>
      </c>
      <c r="K35" s="49">
        <f ca="1">IFERROR(VLOOKUP($A35,ClassGrupFases!$C$33:$Q$40,10,FALSE),"")</f>
        <v>7</v>
      </c>
      <c r="L35" s="49">
        <f ca="1">IFERROR(VLOOKUP($A35,ClassGrupFases!$C$33:$Q$40,11,FALSE),"")</f>
        <v>-4</v>
      </c>
      <c r="M35" s="41">
        <f ca="1">IFERROR(VLOOKUP($A35,ClassGrupFases!$C$33:$Q$40,1,FALSE),"")</f>
        <v>5</v>
      </c>
    </row>
    <row r="36" spans="1:13" x14ac:dyDescent="0.3">
      <c r="A36" s="37">
        <v>6</v>
      </c>
      <c r="B36" s="46">
        <f ca="1">IFERROR(VLOOKUP($A36,ClassGrupFases!$C$33:$Q$40,15,FALSE),"")</f>
        <v>6</v>
      </c>
      <c r="C36" s="47" t="str">
        <f ca="1">IFERROR(VLOOKUP($A36,ClassGrupFases!$C$33:$Q$40,2,FALSE),"")</f>
        <v>Zé Luiz</v>
      </c>
      <c r="D36" s="48">
        <f ca="1">IFERROR(VLOOKUP($A36,ClassGrupFases!$C$33:$Q$40,3,FALSE),"")</f>
        <v>0.27777777777777779</v>
      </c>
      <c r="E36" s="49">
        <f ca="1">IFERROR(VLOOKUP($A36,ClassGrupFases!$C$33:$Q$40,4,FALSE),"")</f>
        <v>5</v>
      </c>
      <c r="F36" s="49">
        <f ca="1">IFERROR(VLOOKUP($A36,ClassGrupFases!$C$33:$Q$40,5,FALSE),"")</f>
        <v>6</v>
      </c>
      <c r="G36" s="49">
        <f ca="1">IFERROR(VLOOKUP($A36,ClassGrupFases!$C$33:$Q$40,6,FALSE),"")</f>
        <v>1</v>
      </c>
      <c r="H36" s="49">
        <f ca="1">IFERROR(VLOOKUP($A36,ClassGrupFases!$C$33:$Q$40,7,FALSE),"")</f>
        <v>2</v>
      </c>
      <c r="I36" s="49">
        <f ca="1">IFERROR(VLOOKUP($A36,ClassGrupFases!$C$33:$Q$40,8,FALSE),"")</f>
        <v>3</v>
      </c>
      <c r="J36" s="49">
        <f ca="1">IFERROR(VLOOKUP($A36,ClassGrupFases!$C$33:$Q$40,9,FALSE),"")</f>
        <v>6</v>
      </c>
      <c r="K36" s="49">
        <f ca="1">IFERROR(VLOOKUP($A36,ClassGrupFases!$C$33:$Q$40,10,FALSE),"")</f>
        <v>11</v>
      </c>
      <c r="L36" s="49">
        <f ca="1">IFERROR(VLOOKUP($A36,ClassGrupFases!$C$33:$Q$40,11,FALSE),"")</f>
        <v>-5</v>
      </c>
      <c r="M36" s="41">
        <f ca="1">IFERROR(VLOOKUP($A36,ClassGrupFases!$C$33:$Q$40,1,FALSE),"")</f>
        <v>6</v>
      </c>
    </row>
    <row r="37" spans="1:13" x14ac:dyDescent="0.3">
      <c r="A37" s="37">
        <v>7</v>
      </c>
      <c r="B37" s="50">
        <f ca="1">IFERROR(VLOOKUP($A37,ClassGrupFases!$C$33:$Q$40,15,FALSE),"")</f>
        <v>7</v>
      </c>
      <c r="C37" s="51" t="str">
        <f ca="1">IFERROR(VLOOKUP($A37,ClassGrupFases!$C$33:$Q$40,2,FALSE),"")</f>
        <v>Coelho</v>
      </c>
      <c r="D37" s="52">
        <f ca="1">IFERROR(VLOOKUP($A37,ClassGrupFases!$C$33:$Q$40,3,FALSE),"")</f>
        <v>5.5555555555555552E-2</v>
      </c>
      <c r="E37" s="53">
        <f ca="1">IFERROR(VLOOKUP($A37,ClassGrupFases!$C$33:$Q$40,4,FALSE),"")</f>
        <v>1</v>
      </c>
      <c r="F37" s="53">
        <f ca="1">IFERROR(VLOOKUP($A37,ClassGrupFases!$C$33:$Q$40,5,FALSE),"")</f>
        <v>6</v>
      </c>
      <c r="G37" s="53">
        <f ca="1">IFERROR(VLOOKUP($A37,ClassGrupFases!$C$33:$Q$40,6,FALSE),"")</f>
        <v>0</v>
      </c>
      <c r="H37" s="53">
        <f ca="1">IFERROR(VLOOKUP($A37,ClassGrupFases!$C$33:$Q$40,7,FALSE),"")</f>
        <v>1</v>
      </c>
      <c r="I37" s="53">
        <f ca="1">IFERROR(VLOOKUP($A37,ClassGrupFases!$C$33:$Q$40,8,FALSE),"")</f>
        <v>5</v>
      </c>
      <c r="J37" s="53">
        <f ca="1">IFERROR(VLOOKUP($A37,ClassGrupFases!$C$33:$Q$40,9,FALSE),"")</f>
        <v>4</v>
      </c>
      <c r="K37" s="53">
        <f ca="1">IFERROR(VLOOKUP($A37,ClassGrupFases!$C$33:$Q$40,10,FALSE),"")</f>
        <v>14</v>
      </c>
      <c r="L37" s="53">
        <f ca="1">IFERROR(VLOOKUP($A37,ClassGrupFases!$C$33:$Q$40,11,FALSE),"")</f>
        <v>-10</v>
      </c>
      <c r="M37" s="41">
        <f ca="1">IFERROR(VLOOKUP($A37,ClassGrupFases!$C$33:$Q$40,1,FALSE),"")</f>
        <v>7</v>
      </c>
    </row>
  </sheetData>
  <sheetProtection sheet="1" objects="1" scenarios="1"/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showGridLines="0" topLeftCell="B1" zoomScale="150" zoomScaleNormal="150" workbookViewId="0">
      <pane ySplit="1" topLeftCell="A18" activePane="bottomLeft" state="frozen"/>
      <selection activeCell="B1" sqref="B1"/>
      <selection pane="bottomLeft" activeCell="C5" sqref="C5"/>
    </sheetView>
  </sheetViews>
  <sheetFormatPr defaultRowHeight="17.25" x14ac:dyDescent="0.3"/>
  <cols>
    <col min="1" max="1" width="2.7109375" style="57" hidden="1" customWidth="1"/>
    <col min="2" max="2" width="40.7109375" style="36" customWidth="1"/>
    <col min="3" max="5" width="4.7109375" style="34" customWidth="1"/>
    <col min="6" max="6" width="40.7109375" style="35" customWidth="1"/>
    <col min="7" max="7" width="2.7109375" style="57" hidden="1" customWidth="1"/>
    <col min="8" max="8" width="6.7109375" style="34" customWidth="1"/>
    <col min="9" max="11" width="4.7109375" style="34" hidden="1" customWidth="1"/>
    <col min="12" max="12" width="10.7109375" style="36" customWidth="1"/>
    <col min="13" max="13" width="4.7109375" style="58" hidden="1" customWidth="1"/>
    <col min="14" max="14" width="10.7109375" style="59" hidden="1" customWidth="1"/>
    <col min="15" max="15" width="4.7109375" style="58" hidden="1" customWidth="1"/>
    <col min="16" max="16" width="1.7109375" style="23" hidden="1" customWidth="1"/>
    <col min="17" max="17" width="4.7109375" style="57" hidden="1" customWidth="1"/>
    <col min="18" max="18" width="10.7109375" style="60" hidden="1" customWidth="1"/>
    <col min="19" max="19" width="4.7109375" style="57" hidden="1" customWidth="1"/>
    <col min="20" max="20" width="0" style="23" hidden="1" customWidth="1"/>
    <col min="21" max="31" width="5.7109375" style="61" hidden="1" customWidth="1"/>
    <col min="32" max="16384" width="9.140625" style="33"/>
  </cols>
  <sheetData>
    <row r="1" spans="1:31" ht="20.25" x14ac:dyDescent="0.3">
      <c r="B1" s="2" t="s">
        <v>72</v>
      </c>
      <c r="R1" s="60" t="s">
        <v>73</v>
      </c>
    </row>
    <row r="2" spans="1:31" x14ac:dyDescent="0.3">
      <c r="B2" s="3" t="s">
        <v>1</v>
      </c>
      <c r="R2" s="60" t="b">
        <f>Jogos!M2*2 = ClassGrupFases!$S$2</f>
        <v>1</v>
      </c>
    </row>
    <row r="3" spans="1:31" ht="25.5" x14ac:dyDescent="0.5">
      <c r="B3" s="63" t="s">
        <v>74</v>
      </c>
      <c r="C3" s="63"/>
      <c r="D3" s="63"/>
      <c r="E3" s="63"/>
      <c r="F3" s="63"/>
      <c r="G3" s="63"/>
      <c r="H3" s="63"/>
      <c r="U3" s="61" t="s">
        <v>13</v>
      </c>
      <c r="V3" s="61" t="s">
        <v>13</v>
      </c>
      <c r="W3" s="61" t="s">
        <v>14</v>
      </c>
      <c r="X3" s="61" t="s">
        <v>15</v>
      </c>
      <c r="Y3" s="61" t="s">
        <v>15</v>
      </c>
      <c r="Z3" s="61" t="s">
        <v>16</v>
      </c>
      <c r="AA3" s="61" t="s">
        <v>17</v>
      </c>
      <c r="AB3" s="61" t="s">
        <v>18</v>
      </c>
      <c r="AC3" s="61" t="s">
        <v>14</v>
      </c>
      <c r="AD3" s="61" t="s">
        <v>19</v>
      </c>
      <c r="AE3" s="61" t="s">
        <v>20</v>
      </c>
    </row>
    <row r="4" spans="1:31" x14ac:dyDescent="0.3">
      <c r="B4" s="66" t="s">
        <v>75</v>
      </c>
      <c r="C4" s="66"/>
      <c r="D4" s="66"/>
      <c r="E4" s="66"/>
      <c r="F4" s="66"/>
      <c r="G4" s="66"/>
      <c r="H4" s="65" t="s">
        <v>76</v>
      </c>
      <c r="L4" s="64">
        <f>Jogos!K3 + TIME(0,140,0)</f>
        <v>45018.680555555555</v>
      </c>
      <c r="M4" s="68" t="s">
        <v>77</v>
      </c>
      <c r="N4" s="67"/>
      <c r="O4" s="67"/>
      <c r="Q4" s="70" t="s">
        <v>78</v>
      </c>
      <c r="R4" s="69"/>
      <c r="S4" s="69"/>
    </row>
    <row r="5" spans="1:31" x14ac:dyDescent="0.3">
      <c r="A5" s="57">
        <v>1</v>
      </c>
      <c r="B5" s="74" t="str">
        <f ca="1">IFERROR(IF($R$2,VLOOKUP($A5,ClassGrupFases!$C$42:$D$57,2,FALSE),""),"")</f>
        <v>Ruas</v>
      </c>
      <c r="C5" s="75">
        <v>2</v>
      </c>
      <c r="D5" s="71" t="s">
        <v>21</v>
      </c>
      <c r="E5" s="75">
        <v>1</v>
      </c>
      <c r="F5" s="72" t="str">
        <f ca="1">IFERROR(IF($R$2,VLOOKUP($G5,ClassGrupFases!$C$42:$D$57,2,FALSE),""),"")</f>
        <v>Mario</v>
      </c>
      <c r="G5" s="73">
        <v>16</v>
      </c>
      <c r="H5" s="71">
        <v>1</v>
      </c>
      <c r="I5" s="71"/>
      <c r="J5" s="71"/>
      <c r="K5" s="71"/>
      <c r="M5" s="58">
        <f ca="1">IFERROR(_xlfn.RANK.EQ(O5, O5:O12, 0), "")</f>
        <v>1</v>
      </c>
      <c r="N5" s="59" t="str">
        <f t="shared" ref="N5:N12" ca="1" si="0">IF(OR(C5="", E5=""), "", IF(OR(C5&gt;E5, C5=E5), B5, F5))</f>
        <v>Ruas</v>
      </c>
      <c r="O5" s="58">
        <f ca="1">IF(OR(C5="", E5=""), "", VLOOKUP(N5, ClassGrupFases!$D$6:$P$39, 11, 0))</f>
        <v>101.86161983</v>
      </c>
      <c r="Q5" s="57">
        <f ca="1">IFERROR(_xlfn.RANK.EQ(S5, S5:S12, 0) + 8, "")</f>
        <v>16</v>
      </c>
      <c r="R5" s="60" t="str">
        <f t="shared" ref="R5:R12" ca="1" si="1">IF(OR(C5="", E5=""), "", IF(OR(C5&gt;E5, C5=E5), F5, B5))</f>
        <v>Mario</v>
      </c>
      <c r="S5" s="57">
        <f ca="1">IF(OR(C5="", E5=""), "", VLOOKUP(R5, ClassGrupFases!$D$6:$P$39, 11, 0))</f>
        <v>33.942737153333326</v>
      </c>
      <c r="U5" s="61" t="str">
        <f t="shared" ref="U5:U12" ca="1" si="2">IF(OR(C5 = "",E5 = ""), "", F5)</f>
        <v>Mario</v>
      </c>
      <c r="W5" s="61" t="str">
        <f t="shared" ref="W5:W12" ca="1" si="3">IF(OR(C5 = "",E5 = ""), "", IF(C5&gt;E5,B5, IF(E5&gt;C5,F5, "")))</f>
        <v>Ruas</v>
      </c>
      <c r="X5" s="61" t="str">
        <f t="shared" ref="X5:X12" si="4">IF(OR(C5 = "",E5 = ""), "", IF(C5=E5,B5, ""))</f>
        <v/>
      </c>
      <c r="Y5" s="61" t="str">
        <f t="shared" ref="Y5:Y12" si="5">IF(OR(C5 = "",E5 = ""), "", IF(C5=E5,F5, ""))</f>
        <v/>
      </c>
      <c r="Z5" s="61" t="str">
        <f t="shared" ref="Z5:Z12" ca="1" si="6">IF(OR(C5 = "",E5 = ""), "", IF(C5&gt;E5,F5, IF(E5&gt;C5,B5, "")))</f>
        <v>Mario</v>
      </c>
      <c r="AA5" s="61" t="str">
        <f t="shared" ref="AA5:AA12" ca="1" si="7">IF(OR(C5 = "",E5 = ""), "", B5)</f>
        <v>Ruas</v>
      </c>
      <c r="AB5" s="61">
        <f t="shared" ref="AB5:AB12" si="8">IF(C5 = "", "", C5)</f>
        <v>2</v>
      </c>
      <c r="AC5" s="61" t="str">
        <f t="shared" ref="AC5:AC12" ca="1" si="9">IF(OR(C5 = "",E5 = ""), "", F5)</f>
        <v>Mario</v>
      </c>
      <c r="AD5" s="61">
        <f t="shared" ref="AD5:AD12" si="10">IF(E5 = "", "", E5)</f>
        <v>1</v>
      </c>
      <c r="AE5" s="61">
        <f t="shared" ref="AE5:AE12" si="11">IF(C5 = "", "", C5)</f>
        <v>2</v>
      </c>
    </row>
    <row r="6" spans="1:31" x14ac:dyDescent="0.3">
      <c r="A6" s="57">
        <v>2</v>
      </c>
      <c r="B6" s="62" t="str">
        <f ca="1">IFERROR(IF($R$2,VLOOKUP($A6,ClassGrupFases!$C$42:$D$57,2,FALSE),""),"")</f>
        <v>Willow</v>
      </c>
      <c r="C6" s="75">
        <v>5</v>
      </c>
      <c r="D6" s="34" t="s">
        <v>21</v>
      </c>
      <c r="E6" s="75">
        <v>1</v>
      </c>
      <c r="F6" s="35" t="str">
        <f ca="1">IFERROR(IF($R$2,VLOOKUP($G6,ClassGrupFases!$C$42:$D$57,2,FALSE),""),"")</f>
        <v>DJ Iury</v>
      </c>
      <c r="G6" s="57">
        <v>15</v>
      </c>
      <c r="H6" s="34">
        <v>2</v>
      </c>
      <c r="M6" s="58">
        <f ca="1">IFERROR(_xlfn.RANK.EQ(O6, O5:O12, 0), "")</f>
        <v>2</v>
      </c>
      <c r="N6" s="59" t="str">
        <f t="shared" ca="1" si="0"/>
        <v>Willow</v>
      </c>
      <c r="O6" s="58">
        <f ca="1">IF(OR(C6="", E6=""), "", VLOOKUP(N6, ClassGrupFases!$D$6:$P$39, 11, 0))</f>
        <v>90.540406828888877</v>
      </c>
      <c r="Q6" s="57">
        <f ca="1">IFERROR(_xlfn.RANK.EQ(S6, S5:S12, 0) + 8, "")</f>
        <v>15</v>
      </c>
      <c r="R6" s="60" t="str">
        <f t="shared" ca="1" si="1"/>
        <v>DJ Iury</v>
      </c>
      <c r="S6" s="57">
        <f ca="1">IF(OR(C6="", E6=""), "", VLOOKUP(R6, ClassGrupFases!$D$6:$P$39, 11, 0))</f>
        <v>39.608497818888893</v>
      </c>
      <c r="U6" s="61" t="str">
        <f t="shared" ca="1" si="2"/>
        <v>DJ Iury</v>
      </c>
      <c r="W6" s="61" t="str">
        <f t="shared" ca="1" si="3"/>
        <v>Willow</v>
      </c>
      <c r="X6" s="61" t="str">
        <f t="shared" si="4"/>
        <v/>
      </c>
      <c r="Y6" s="61" t="str">
        <f t="shared" si="5"/>
        <v/>
      </c>
      <c r="Z6" s="61" t="str">
        <f t="shared" ca="1" si="6"/>
        <v>DJ Iury</v>
      </c>
      <c r="AA6" s="61" t="str">
        <f t="shared" ca="1" si="7"/>
        <v>Willow</v>
      </c>
      <c r="AB6" s="61">
        <f t="shared" si="8"/>
        <v>5</v>
      </c>
      <c r="AC6" s="61" t="str">
        <f t="shared" ca="1" si="9"/>
        <v>DJ Iury</v>
      </c>
      <c r="AD6" s="61">
        <f t="shared" si="10"/>
        <v>1</v>
      </c>
      <c r="AE6" s="61">
        <f t="shared" si="11"/>
        <v>5</v>
      </c>
    </row>
    <row r="7" spans="1:31" x14ac:dyDescent="0.3">
      <c r="A7" s="57">
        <v>3</v>
      </c>
      <c r="B7" s="74" t="str">
        <f ca="1">IFERROR(IF($R$2,VLOOKUP($A7,ClassGrupFases!$C$42:$D$57,2,FALSE),""),"")</f>
        <v>Tabajara</v>
      </c>
      <c r="C7" s="75">
        <v>2</v>
      </c>
      <c r="D7" s="71" t="s">
        <v>21</v>
      </c>
      <c r="E7" s="75">
        <v>1</v>
      </c>
      <c r="F7" s="72" t="str">
        <f ca="1">IFERROR(IF($R$2,VLOOKUP($G7,ClassGrupFases!$C$42:$D$57,2,FALSE),""),"")</f>
        <v>Diogo</v>
      </c>
      <c r="G7" s="73">
        <v>14</v>
      </c>
      <c r="H7" s="71">
        <v>3</v>
      </c>
      <c r="I7" s="71"/>
      <c r="J7" s="71"/>
      <c r="K7" s="71"/>
      <c r="M7" s="58">
        <f ca="1">IFERROR(_xlfn.RANK.EQ(O7, O5:O12, 0), "")</f>
        <v>3</v>
      </c>
      <c r="N7" s="59" t="str">
        <f t="shared" ca="1" si="0"/>
        <v>Tabajara</v>
      </c>
      <c r="O7" s="58">
        <f ca="1">IF(OR(C7="", E7=""), "", VLOOKUP(N7, ClassGrupFases!$D$6:$P$39, 11, 0))</f>
        <v>90.540203538888889</v>
      </c>
      <c r="Q7" s="57">
        <f ca="1">IFERROR(_xlfn.RANK.EQ(S7, S5:S12, 0) + 8, "")</f>
        <v>14</v>
      </c>
      <c r="R7" s="60" t="str">
        <f t="shared" ca="1" si="1"/>
        <v>Diogo</v>
      </c>
      <c r="S7" s="57">
        <f ca="1">IF(OR(C7="", E7=""), "", VLOOKUP(R7, ClassGrupFases!$D$6:$P$39, 11, 0))</f>
        <v>39.608704628888887</v>
      </c>
      <c r="U7" s="61" t="str">
        <f t="shared" ca="1" si="2"/>
        <v>Diogo</v>
      </c>
      <c r="W7" s="61" t="str">
        <f t="shared" ca="1" si="3"/>
        <v>Tabajara</v>
      </c>
      <c r="X7" s="61" t="str">
        <f t="shared" si="4"/>
        <v/>
      </c>
      <c r="Y7" s="61" t="str">
        <f t="shared" si="5"/>
        <v/>
      </c>
      <c r="Z7" s="61" t="str">
        <f t="shared" ca="1" si="6"/>
        <v>Diogo</v>
      </c>
      <c r="AA7" s="61" t="str">
        <f t="shared" ca="1" si="7"/>
        <v>Tabajara</v>
      </c>
      <c r="AB7" s="61">
        <f t="shared" si="8"/>
        <v>2</v>
      </c>
      <c r="AC7" s="61" t="str">
        <f t="shared" ca="1" si="9"/>
        <v>Diogo</v>
      </c>
      <c r="AD7" s="61">
        <f t="shared" si="10"/>
        <v>1</v>
      </c>
      <c r="AE7" s="61">
        <f t="shared" si="11"/>
        <v>2</v>
      </c>
    </row>
    <row r="8" spans="1:31" x14ac:dyDescent="0.3">
      <c r="A8" s="57">
        <v>4</v>
      </c>
      <c r="B8" s="62" t="str">
        <f ca="1">IFERROR(IF($R$2,VLOOKUP($A8,ClassGrupFases!$C$42:$D$57,2,FALSE),""),"")</f>
        <v>Vinicius Rolim</v>
      </c>
      <c r="C8" s="75">
        <v>1</v>
      </c>
      <c r="D8" s="34" t="s">
        <v>21</v>
      </c>
      <c r="E8" s="75">
        <v>1</v>
      </c>
      <c r="F8" s="35" t="str">
        <f ca="1">IFERROR(IF($R$2,VLOOKUP($G8,ClassGrupFases!$C$42:$D$57,2,FALSE),""),"")</f>
        <v>Rafael Balieiro</v>
      </c>
      <c r="G8" s="57">
        <v>13</v>
      </c>
      <c r="H8" s="34">
        <v>4</v>
      </c>
      <c r="M8" s="58">
        <f ca="1">IFERROR(_xlfn.RANK.EQ(O8, O5:O12, 0), "")</f>
        <v>4</v>
      </c>
      <c r="N8" s="59" t="str">
        <f t="shared" ca="1" si="0"/>
        <v>Vinicius Rolim</v>
      </c>
      <c r="O8" s="58">
        <f ca="1">IF(OR(C8="", E8=""), "", VLOOKUP(N8, ClassGrupFases!$D$6:$P$39, 11, 0))</f>
        <v>79.218695537777776</v>
      </c>
      <c r="Q8" s="57">
        <f ca="1">IFERROR(_xlfn.RANK.EQ(S8, S5:S12, 0) + 8, "")</f>
        <v>13</v>
      </c>
      <c r="R8" s="60" t="str">
        <f t="shared" ca="1" si="1"/>
        <v>Rafael Balieiro</v>
      </c>
      <c r="S8" s="57">
        <f ca="1">IF(OR(C8="", E8=""), "", VLOOKUP(R8, ClassGrupFases!$D$6:$P$39, 11, 0))</f>
        <v>45.264150084444438</v>
      </c>
      <c r="U8" s="61" t="str">
        <f t="shared" ca="1" si="2"/>
        <v>Rafael Balieiro</v>
      </c>
      <c r="W8" s="61" t="str">
        <f t="shared" si="3"/>
        <v/>
      </c>
      <c r="X8" s="61" t="str">
        <f t="shared" ca="1" si="4"/>
        <v>Vinicius Rolim</v>
      </c>
      <c r="Y8" s="61" t="str">
        <f t="shared" ca="1" si="5"/>
        <v>Rafael Balieiro</v>
      </c>
      <c r="Z8" s="61" t="str">
        <f t="shared" si="6"/>
        <v/>
      </c>
      <c r="AA8" s="61" t="str">
        <f t="shared" ca="1" si="7"/>
        <v>Vinicius Rolim</v>
      </c>
      <c r="AB8" s="61">
        <f t="shared" si="8"/>
        <v>1</v>
      </c>
      <c r="AC8" s="61" t="str">
        <f t="shared" ca="1" si="9"/>
        <v>Rafael Balieiro</v>
      </c>
      <c r="AD8" s="61">
        <f t="shared" si="10"/>
        <v>1</v>
      </c>
      <c r="AE8" s="61">
        <f t="shared" si="11"/>
        <v>1</v>
      </c>
    </row>
    <row r="9" spans="1:31" x14ac:dyDescent="0.3">
      <c r="A9" s="57">
        <v>5</v>
      </c>
      <c r="B9" s="74" t="str">
        <f ca="1">IFERROR(IF($R$2,VLOOKUP($A9,ClassGrupFases!$C$42:$D$57,2,FALSE),""),"")</f>
        <v>Teruel</v>
      </c>
      <c r="C9" s="75">
        <v>0</v>
      </c>
      <c r="D9" s="71" t="s">
        <v>21</v>
      </c>
      <c r="E9" s="75">
        <v>0</v>
      </c>
      <c r="F9" s="72" t="str">
        <f ca="1">IFERROR(IF($R$2,VLOOKUP($G9,ClassGrupFases!$C$42:$D$57,2,FALSE),""),"")</f>
        <v>Afonso</v>
      </c>
      <c r="G9" s="73">
        <v>12</v>
      </c>
      <c r="H9" s="71">
        <v>5</v>
      </c>
      <c r="I9" s="71"/>
      <c r="J9" s="71"/>
      <c r="K9" s="71"/>
      <c r="M9" s="58">
        <f ca="1">IFERROR(_xlfn.RANK.EQ(O9, O5:O12, 0), "")</f>
        <v>5</v>
      </c>
      <c r="N9" s="59" t="str">
        <f t="shared" ca="1" si="0"/>
        <v>Teruel</v>
      </c>
      <c r="O9" s="58">
        <f ca="1">IF(OR(C9="", E9=""), "", VLOOKUP(N9, ClassGrupFases!$D$6:$P$39, 11, 0))</f>
        <v>73.562833072222219</v>
      </c>
      <c r="Q9" s="57">
        <f ca="1">IFERROR(_xlfn.RANK.EQ(S9, S5:S12, 0) + 8, "")</f>
        <v>12</v>
      </c>
      <c r="R9" s="60" t="str">
        <f t="shared" ca="1" si="1"/>
        <v>Afonso</v>
      </c>
      <c r="S9" s="57">
        <f ca="1">IF(OR(C9="", E9=""), "", VLOOKUP(R9, ClassGrupFases!$D$6:$P$39, 11, 0))</f>
        <v>45.264451354444439</v>
      </c>
      <c r="U9" s="61" t="str">
        <f t="shared" ca="1" si="2"/>
        <v>Afonso</v>
      </c>
      <c r="W9" s="61" t="str">
        <f t="shared" si="3"/>
        <v/>
      </c>
      <c r="X9" s="61" t="str">
        <f t="shared" ca="1" si="4"/>
        <v>Teruel</v>
      </c>
      <c r="Y9" s="61" t="str">
        <f t="shared" ca="1" si="5"/>
        <v>Afonso</v>
      </c>
      <c r="Z9" s="61" t="str">
        <f t="shared" si="6"/>
        <v/>
      </c>
      <c r="AA9" s="61" t="str">
        <f t="shared" ca="1" si="7"/>
        <v>Teruel</v>
      </c>
      <c r="AB9" s="61">
        <f t="shared" si="8"/>
        <v>0</v>
      </c>
      <c r="AC9" s="61" t="str">
        <f t="shared" ca="1" si="9"/>
        <v>Afonso</v>
      </c>
      <c r="AD9" s="61">
        <f t="shared" si="10"/>
        <v>0</v>
      </c>
      <c r="AE9" s="61">
        <f t="shared" si="11"/>
        <v>0</v>
      </c>
    </row>
    <row r="10" spans="1:31" x14ac:dyDescent="0.3">
      <c r="A10" s="57">
        <v>6</v>
      </c>
      <c r="B10" s="62" t="str">
        <f ca="1">IFERROR(IF($R$2,VLOOKUP($A10,ClassGrupFases!$C$42:$D$57,2,FALSE),""),"")</f>
        <v>Galdeano</v>
      </c>
      <c r="C10" s="75">
        <v>1</v>
      </c>
      <c r="D10" s="34" t="s">
        <v>21</v>
      </c>
      <c r="E10" s="75">
        <v>1</v>
      </c>
      <c r="F10" s="35" t="str">
        <f ca="1">IFERROR(IF($R$2,VLOOKUP($G10,ClassGrupFases!$C$42:$D$57,2,FALSE),""),"")</f>
        <v>Mario Mili</v>
      </c>
      <c r="G10" s="57">
        <v>11</v>
      </c>
      <c r="H10" s="34">
        <v>6</v>
      </c>
      <c r="M10" s="58">
        <f ca="1">IFERROR(_xlfn.RANK.EQ(O10, O5:O12, 0), "")</f>
        <v>6</v>
      </c>
      <c r="N10" s="59" t="str">
        <f t="shared" ca="1" si="0"/>
        <v>Galdeano</v>
      </c>
      <c r="O10" s="58">
        <f ca="1">IF(OR(C10="", E10=""), "", VLOOKUP(N10, ClassGrupFases!$D$6:$P$39, 11, 0))</f>
        <v>67.907280336666645</v>
      </c>
      <c r="Q10" s="57">
        <f ca="1">IFERROR(_xlfn.RANK.EQ(S10, S5:S12, 0) + 8, "")</f>
        <v>11</v>
      </c>
      <c r="R10" s="60" t="str">
        <f t="shared" ca="1" si="1"/>
        <v>Mario Mili</v>
      </c>
      <c r="S10" s="57">
        <f ca="1">IF(OR(C10="", E10=""), "", VLOOKUP(R10, ClassGrupFases!$D$6:$P$39, 11, 0))</f>
        <v>45.264753064444434</v>
      </c>
      <c r="U10" s="61" t="str">
        <f t="shared" ca="1" si="2"/>
        <v>Mario Mili</v>
      </c>
      <c r="W10" s="61" t="str">
        <f t="shared" si="3"/>
        <v/>
      </c>
      <c r="X10" s="61" t="str">
        <f t="shared" ca="1" si="4"/>
        <v>Galdeano</v>
      </c>
      <c r="Y10" s="61" t="str">
        <f t="shared" ca="1" si="5"/>
        <v>Mario Mili</v>
      </c>
      <c r="Z10" s="61" t="str">
        <f t="shared" si="6"/>
        <v/>
      </c>
      <c r="AA10" s="61" t="str">
        <f t="shared" ca="1" si="7"/>
        <v>Galdeano</v>
      </c>
      <c r="AB10" s="61">
        <f t="shared" si="8"/>
        <v>1</v>
      </c>
      <c r="AC10" s="61" t="str">
        <f t="shared" ca="1" si="9"/>
        <v>Mario Mili</v>
      </c>
      <c r="AD10" s="61">
        <f t="shared" si="10"/>
        <v>1</v>
      </c>
      <c r="AE10" s="61">
        <f t="shared" si="11"/>
        <v>1</v>
      </c>
    </row>
    <row r="11" spans="1:31" x14ac:dyDescent="0.3">
      <c r="A11" s="57">
        <v>7</v>
      </c>
      <c r="B11" s="74" t="str">
        <f ca="1">IFERROR(IF($R$2,VLOOKUP($A11,ClassGrupFases!$C$42:$D$57,2,FALSE),""),"")</f>
        <v xml:space="preserve">Marcão </v>
      </c>
      <c r="C11" s="75">
        <v>2</v>
      </c>
      <c r="D11" s="71" t="s">
        <v>21</v>
      </c>
      <c r="E11" s="75">
        <v>3</v>
      </c>
      <c r="F11" s="72" t="str">
        <f ca="1">IFERROR(IF($R$2,VLOOKUP($G11,ClassGrupFases!$C$42:$D$57,2,FALSE),""),"")</f>
        <v>Luiz Coelho</v>
      </c>
      <c r="G11" s="73">
        <v>10</v>
      </c>
      <c r="H11" s="71">
        <v>7</v>
      </c>
      <c r="I11" s="71"/>
      <c r="J11" s="71"/>
      <c r="K11" s="71"/>
      <c r="M11" s="58">
        <f ca="1">IFERROR(_xlfn.RANK.EQ(O11, O5:O12, 0), "")</f>
        <v>8</v>
      </c>
      <c r="N11" s="59" t="str">
        <f t="shared" ca="1" si="0"/>
        <v>Luiz Coelho</v>
      </c>
      <c r="O11" s="58">
        <f ca="1">IF(OR(C11="", E11=""), "", VLOOKUP(N11, ClassGrupFases!$D$6:$P$39, 11, 0))</f>
        <v>50.920004920000004</v>
      </c>
      <c r="Q11" s="57">
        <f ca="1">IFERROR(_xlfn.RANK.EQ(S11, S5:S12, 0) + 8, "")</f>
        <v>9</v>
      </c>
      <c r="R11" s="60" t="str">
        <f t="shared" ca="1" si="1"/>
        <v xml:space="preserve">Marcão </v>
      </c>
      <c r="S11" s="57">
        <f ca="1">IF(OR(C11="", E11=""), "", VLOOKUP(R11, ClassGrupFases!$D$6:$P$39, 11, 0))</f>
        <v>67.897081366666654</v>
      </c>
      <c r="U11" s="61" t="str">
        <f t="shared" ca="1" si="2"/>
        <v>Luiz Coelho</v>
      </c>
      <c r="W11" s="61" t="str">
        <f t="shared" ca="1" si="3"/>
        <v>Luiz Coelho</v>
      </c>
      <c r="X11" s="61" t="str">
        <f t="shared" si="4"/>
        <v/>
      </c>
      <c r="Y11" s="61" t="str">
        <f t="shared" si="5"/>
        <v/>
      </c>
      <c r="Z11" s="61" t="str">
        <f t="shared" ca="1" si="6"/>
        <v xml:space="preserve">Marcão </v>
      </c>
      <c r="AA11" s="61" t="str">
        <f t="shared" ca="1" si="7"/>
        <v xml:space="preserve">Marcão </v>
      </c>
      <c r="AB11" s="61">
        <f t="shared" si="8"/>
        <v>2</v>
      </c>
      <c r="AC11" s="61" t="str">
        <f t="shared" ca="1" si="9"/>
        <v>Luiz Coelho</v>
      </c>
      <c r="AD11" s="61">
        <f t="shared" si="10"/>
        <v>3</v>
      </c>
      <c r="AE11" s="61">
        <f t="shared" si="11"/>
        <v>2</v>
      </c>
    </row>
    <row r="12" spans="1:31" x14ac:dyDescent="0.3">
      <c r="A12" s="57">
        <v>8</v>
      </c>
      <c r="B12" s="62" t="str">
        <f ca="1">IFERROR(IF($R$2,VLOOKUP($A12,ClassGrupFases!$C$42:$D$57,2,FALSE),""),"")</f>
        <v>Rodrigo Moro</v>
      </c>
      <c r="C12" s="75">
        <v>2</v>
      </c>
      <c r="D12" s="34" t="s">
        <v>21</v>
      </c>
      <c r="E12" s="75">
        <v>5</v>
      </c>
      <c r="F12" s="35" t="str">
        <f ca="1">IFERROR(IF($R$2,VLOOKUP($G12,ClassGrupFases!$C$42:$D$57,2,FALSE),""),"")</f>
        <v>Elsio</v>
      </c>
      <c r="G12" s="57">
        <v>9</v>
      </c>
      <c r="H12" s="34">
        <v>8</v>
      </c>
      <c r="M12" s="58">
        <f ca="1">IFERROR(_xlfn.RANK.EQ(O12, O5:O12, 0), "")</f>
        <v>7</v>
      </c>
      <c r="N12" s="59" t="str">
        <f t="shared" ca="1" si="0"/>
        <v>Elsio</v>
      </c>
      <c r="O12" s="58">
        <f ca="1">IF(OR(C12="", E12=""), "", VLOOKUP(N12, ClassGrupFases!$D$6:$P$39, 11, 0))</f>
        <v>50.92000779</v>
      </c>
      <c r="Q12" s="57">
        <f ca="1">IFERROR(_xlfn.RANK.EQ(S12, S5:S12, 0) + 8, "")</f>
        <v>10</v>
      </c>
      <c r="R12" s="60" t="str">
        <f t="shared" ca="1" si="1"/>
        <v>Rodrigo Moro</v>
      </c>
      <c r="S12" s="57">
        <f ca="1">IF(OR(C12="", E12=""), "", VLOOKUP(R12, ClassGrupFases!$D$6:$P$39, 11, 0))</f>
        <v>56.585869275555559</v>
      </c>
      <c r="U12" s="61" t="str">
        <f t="shared" ca="1" si="2"/>
        <v>Elsio</v>
      </c>
      <c r="W12" s="61" t="str">
        <f t="shared" ca="1" si="3"/>
        <v>Elsio</v>
      </c>
      <c r="X12" s="61" t="str">
        <f t="shared" si="4"/>
        <v/>
      </c>
      <c r="Y12" s="61" t="str">
        <f t="shared" si="5"/>
        <v/>
      </c>
      <c r="Z12" s="61" t="str">
        <f t="shared" ca="1" si="6"/>
        <v>Rodrigo Moro</v>
      </c>
      <c r="AA12" s="61" t="str">
        <f t="shared" ca="1" si="7"/>
        <v>Rodrigo Moro</v>
      </c>
      <c r="AB12" s="61">
        <f t="shared" si="8"/>
        <v>2</v>
      </c>
      <c r="AC12" s="61" t="str">
        <f t="shared" ca="1" si="9"/>
        <v>Elsio</v>
      </c>
      <c r="AD12" s="61">
        <f t="shared" si="10"/>
        <v>5</v>
      </c>
      <c r="AE12" s="61">
        <f t="shared" si="11"/>
        <v>2</v>
      </c>
    </row>
    <row r="13" spans="1:31" ht="25.5" x14ac:dyDescent="0.5">
      <c r="B13" s="63" t="s">
        <v>79</v>
      </c>
      <c r="C13" s="63"/>
      <c r="D13" s="63"/>
      <c r="E13" s="63"/>
      <c r="F13" s="63"/>
      <c r="G13" s="63"/>
      <c r="H13" s="63"/>
      <c r="U13" s="61" t="s">
        <v>13</v>
      </c>
      <c r="V13" s="61" t="s">
        <v>13</v>
      </c>
      <c r="W13" s="61" t="s">
        <v>14</v>
      </c>
      <c r="X13" s="61" t="s">
        <v>15</v>
      </c>
      <c r="Y13" s="61" t="s">
        <v>15</v>
      </c>
      <c r="Z13" s="61" t="s">
        <v>16</v>
      </c>
      <c r="AA13" s="61" t="s">
        <v>17</v>
      </c>
      <c r="AB13" s="61" t="s">
        <v>18</v>
      </c>
      <c r="AC13" s="61" t="s">
        <v>14</v>
      </c>
      <c r="AD13" s="61" t="s">
        <v>19</v>
      </c>
      <c r="AE13" s="61" t="s">
        <v>20</v>
      </c>
    </row>
    <row r="14" spans="1:31" x14ac:dyDescent="0.3">
      <c r="B14" s="66" t="s">
        <v>75</v>
      </c>
      <c r="C14" s="66"/>
      <c r="D14" s="66"/>
      <c r="E14" s="66"/>
      <c r="F14" s="66"/>
      <c r="G14" s="66"/>
      <c r="H14" s="65" t="s">
        <v>76</v>
      </c>
      <c r="L14" s="64">
        <f>Jogos!K3 + TIME(0,160,0)</f>
        <v>45018.694444444445</v>
      </c>
      <c r="M14" s="68" t="s">
        <v>77</v>
      </c>
      <c r="N14" s="67"/>
      <c r="O14" s="67"/>
      <c r="Q14" s="70" t="s">
        <v>78</v>
      </c>
      <c r="R14" s="69"/>
      <c r="S14" s="69"/>
    </row>
    <row r="15" spans="1:31" x14ac:dyDescent="0.3">
      <c r="A15" s="57">
        <v>1</v>
      </c>
      <c r="B15" s="74" t="str">
        <f ca="1">IFERROR(VLOOKUP($A15,$M$5:$N$12, 2, FALSE), "")</f>
        <v>Ruas</v>
      </c>
      <c r="C15" s="75">
        <v>0</v>
      </c>
      <c r="D15" s="71" t="s">
        <v>21</v>
      </c>
      <c r="E15" s="75">
        <v>3</v>
      </c>
      <c r="F15" s="72" t="str">
        <f ca="1">IFERROR(VLOOKUP($G15,$M$5:$N$12, 2, FALSE), "")</f>
        <v>Luiz Coelho</v>
      </c>
      <c r="G15" s="73">
        <v>8</v>
      </c>
      <c r="H15" s="71">
        <v>1</v>
      </c>
      <c r="I15" s="71"/>
      <c r="J15" s="71"/>
      <c r="K15" s="71"/>
      <c r="M15" s="58">
        <f ca="1">IFERROR(_xlfn.RANK.EQ(O15, O15:O18, 0), "")</f>
        <v>4</v>
      </c>
      <c r="N15" s="59" t="str">
        <f ca="1">IF(OR(C15="", E15=""), "", IF(OR(C15&gt;E15, C15=E15), B15, F15))</f>
        <v>Luiz Coelho</v>
      </c>
      <c r="O15" s="58">
        <f ca="1">IF(OR(C15="", E15=""), "", VLOOKUP(N15, ClassGrupFases!$D$6:$P$39, 11, 0))</f>
        <v>50.920004920000004</v>
      </c>
      <c r="Q15" s="57">
        <f ca="1">IFERROR(_xlfn.RANK.EQ(S15, S15:S18, 0) + 4, "")</f>
        <v>5</v>
      </c>
      <c r="R15" s="60" t="str">
        <f ca="1">IF(OR(C15="", E15=""), "", IF(OR(C15&gt;E15, C15=E15), F15, B15))</f>
        <v>Ruas</v>
      </c>
      <c r="S15" s="57">
        <f ca="1">IF(OR(C15="", E15=""), "", VLOOKUP(R15, ClassGrupFases!$D$6:$P$39, 11, 0))</f>
        <v>101.86161983</v>
      </c>
      <c r="U15" s="61" t="str">
        <f ca="1">IF(OR(C15 = "",E15 = ""), "", F15)</f>
        <v>Luiz Coelho</v>
      </c>
      <c r="W15" s="61" t="str">
        <f ca="1">IF(OR(C15 = "",E15 = ""), "", IF(C15&gt;E15,B15, IF(E15&gt;C15,F15, "")))</f>
        <v>Luiz Coelho</v>
      </c>
      <c r="X15" s="61" t="str">
        <f>IF(OR(C15 = "",E15 = ""), "", IF(C15=E15,B15, ""))</f>
        <v/>
      </c>
      <c r="Y15" s="61" t="str">
        <f>IF(OR(C15 = "",E15 = ""), "", IF(C15=E15,F15, ""))</f>
        <v/>
      </c>
      <c r="Z15" s="61" t="str">
        <f ca="1">IF(OR(C15 = "",E15 = ""), "", IF(C15&gt;E15,F15, IF(E15&gt;C15,B15, "")))</f>
        <v>Ruas</v>
      </c>
      <c r="AA15" s="61" t="str">
        <f ca="1">IF(OR(C15 = "",E15 = ""), "", B15)</f>
        <v>Ruas</v>
      </c>
      <c r="AB15" s="61">
        <f>IF(C15 = "", "", C15)</f>
        <v>0</v>
      </c>
      <c r="AC15" s="61" t="str">
        <f ca="1">IF(OR(C15 = "",E15 = ""), "", F15)</f>
        <v>Luiz Coelho</v>
      </c>
      <c r="AD15" s="61">
        <f>IF(E15 = "", "", E15)</f>
        <v>3</v>
      </c>
      <c r="AE15" s="61">
        <f>IF(C15 = "", "", C15)</f>
        <v>0</v>
      </c>
    </row>
    <row r="16" spans="1:31" x14ac:dyDescent="0.3">
      <c r="A16" s="57">
        <v>2</v>
      </c>
      <c r="B16" s="62" t="str">
        <f ca="1">IFERROR(VLOOKUP($A16,$M$5:$N$12, 2, FALSE), "")</f>
        <v>Willow</v>
      </c>
      <c r="C16" s="75">
        <v>4</v>
      </c>
      <c r="D16" s="34" t="s">
        <v>21</v>
      </c>
      <c r="E16" s="75">
        <v>0</v>
      </c>
      <c r="F16" s="35" t="str">
        <f ca="1">IFERROR(VLOOKUP($G16,$M$5:$N$12, 2, FALSE), "")</f>
        <v>Elsio</v>
      </c>
      <c r="G16" s="57">
        <v>7</v>
      </c>
      <c r="H16" s="34">
        <v>2</v>
      </c>
      <c r="M16" s="58">
        <f ca="1">IFERROR(_xlfn.RANK.EQ(O16, O15:O18, 0), "")</f>
        <v>1</v>
      </c>
      <c r="N16" s="59" t="str">
        <f ca="1">IF(OR(C16="", E16=""), "", IF(OR(C16&gt;E16, C16=E16), B16, F16))</f>
        <v>Willow</v>
      </c>
      <c r="O16" s="58">
        <f ca="1">IF(OR(C16="", E16=""), "", VLOOKUP(N16, ClassGrupFases!$D$6:$P$39, 11, 0))</f>
        <v>90.540406828888877</v>
      </c>
      <c r="Q16" s="57">
        <f ca="1">IFERROR(_xlfn.RANK.EQ(S16, S15:S18, 0) + 4, "")</f>
        <v>8</v>
      </c>
      <c r="R16" s="60" t="str">
        <f ca="1">IF(OR(C16="", E16=""), "", IF(OR(C16&gt;E16, C16=E16), F16, B16))</f>
        <v>Elsio</v>
      </c>
      <c r="S16" s="57">
        <f ca="1">IF(OR(C16="", E16=""), "", VLOOKUP(R16, ClassGrupFases!$D$6:$P$39, 11, 0))</f>
        <v>50.92000779</v>
      </c>
      <c r="U16" s="61" t="str">
        <f ca="1">IF(OR(C16 = "",E16 = ""), "", F16)</f>
        <v>Elsio</v>
      </c>
      <c r="W16" s="61" t="str">
        <f ca="1">IF(OR(C16 = "",E16 = ""), "", IF(C16&gt;E16,B16, IF(E16&gt;C16,F16, "")))</f>
        <v>Willow</v>
      </c>
      <c r="X16" s="61" t="str">
        <f>IF(OR(C16 = "",E16 = ""), "", IF(C16=E16,B16, ""))</f>
        <v/>
      </c>
      <c r="Y16" s="61" t="str">
        <f>IF(OR(C16 = "",E16 = ""), "", IF(C16=E16,F16, ""))</f>
        <v/>
      </c>
      <c r="Z16" s="61" t="str">
        <f ca="1">IF(OR(C16 = "",E16 = ""), "", IF(C16&gt;E16,F16, IF(E16&gt;C16,B16, "")))</f>
        <v>Elsio</v>
      </c>
      <c r="AA16" s="61" t="str">
        <f ca="1">IF(OR(C16 = "",E16 = ""), "", B16)</f>
        <v>Willow</v>
      </c>
      <c r="AB16" s="61">
        <f>IF(C16 = "", "", C16)</f>
        <v>4</v>
      </c>
      <c r="AC16" s="61" t="str">
        <f ca="1">IF(OR(C16 = "",E16 = ""), "", F16)</f>
        <v>Elsio</v>
      </c>
      <c r="AD16" s="61">
        <f>IF(E16 = "", "", E16)</f>
        <v>0</v>
      </c>
      <c r="AE16" s="61">
        <f>IF(C16 = "", "", C16)</f>
        <v>4</v>
      </c>
    </row>
    <row r="17" spans="1:31" x14ac:dyDescent="0.3">
      <c r="A17" s="57">
        <v>3</v>
      </c>
      <c r="B17" s="74" t="str">
        <f ca="1">IFERROR(VLOOKUP($A17,$M$5:$N$12, 2, FALSE), "")</f>
        <v>Tabajara</v>
      </c>
      <c r="C17" s="75">
        <v>3</v>
      </c>
      <c r="D17" s="71" t="s">
        <v>21</v>
      </c>
      <c r="E17" s="75">
        <v>3</v>
      </c>
      <c r="F17" s="72" t="str">
        <f ca="1">IFERROR(VLOOKUP($G17,$M$5:$N$12, 2, FALSE), "")</f>
        <v>Galdeano</v>
      </c>
      <c r="G17" s="73">
        <v>6</v>
      </c>
      <c r="H17" s="71">
        <v>3</v>
      </c>
      <c r="I17" s="71"/>
      <c r="J17" s="71"/>
      <c r="K17" s="71"/>
      <c r="M17" s="58">
        <f ca="1">IFERROR(_xlfn.RANK.EQ(O17, O15:O18, 0), "")</f>
        <v>2</v>
      </c>
      <c r="N17" s="59" t="str">
        <f ca="1">IF(OR(C17="", E17=""), "", IF(OR(C17&gt;E17, C17=E17), B17, F17))</f>
        <v>Tabajara</v>
      </c>
      <c r="O17" s="58">
        <f ca="1">IF(OR(C17="", E17=""), "", VLOOKUP(N17, ClassGrupFases!$D$6:$P$39, 11, 0))</f>
        <v>90.540203538888889</v>
      </c>
      <c r="Q17" s="57">
        <f ca="1">IFERROR(_xlfn.RANK.EQ(S17, S15:S18, 0) + 4, "")</f>
        <v>7</v>
      </c>
      <c r="R17" s="60" t="str">
        <f ca="1">IF(OR(C17="", E17=""), "", IF(OR(C17&gt;E17, C17=E17), F17, B17))</f>
        <v>Galdeano</v>
      </c>
      <c r="S17" s="57">
        <f ca="1">IF(OR(C17="", E17=""), "", VLOOKUP(R17, ClassGrupFases!$D$6:$P$39, 11, 0))</f>
        <v>67.907280336666645</v>
      </c>
      <c r="U17" s="61" t="str">
        <f ca="1">IF(OR(C17 = "",E17 = ""), "", F17)</f>
        <v>Galdeano</v>
      </c>
      <c r="W17" s="61" t="str">
        <f>IF(OR(C17 = "",E17 = ""), "", IF(C17&gt;E17,B17, IF(E17&gt;C17,F17, "")))</f>
        <v/>
      </c>
      <c r="X17" s="61" t="str">
        <f ca="1">IF(OR(C17 = "",E17 = ""), "", IF(C17=E17,B17, ""))</f>
        <v>Tabajara</v>
      </c>
      <c r="Y17" s="61" t="str">
        <f ca="1">IF(OR(C17 = "",E17 = ""), "", IF(C17=E17,F17, ""))</f>
        <v>Galdeano</v>
      </c>
      <c r="Z17" s="61" t="str">
        <f>IF(OR(C17 = "",E17 = ""), "", IF(C17&gt;E17,F17, IF(E17&gt;C17,B17, "")))</f>
        <v/>
      </c>
      <c r="AA17" s="61" t="str">
        <f ca="1">IF(OR(C17 = "",E17 = ""), "", B17)</f>
        <v>Tabajara</v>
      </c>
      <c r="AB17" s="61">
        <f>IF(C17 = "", "", C17)</f>
        <v>3</v>
      </c>
      <c r="AC17" s="61" t="str">
        <f ca="1">IF(OR(C17 = "",E17 = ""), "", F17)</f>
        <v>Galdeano</v>
      </c>
      <c r="AD17" s="61">
        <f>IF(E17 = "", "", E17)</f>
        <v>3</v>
      </c>
      <c r="AE17" s="61">
        <f>IF(C17 = "", "", C17)</f>
        <v>3</v>
      </c>
    </row>
    <row r="18" spans="1:31" x14ac:dyDescent="0.3">
      <c r="A18" s="57">
        <v>4</v>
      </c>
      <c r="B18" s="62" t="str">
        <f ca="1">IFERROR(VLOOKUP($A18,$M$5:$N$12, 2, FALSE), "")</f>
        <v>Vinicius Rolim</v>
      </c>
      <c r="C18" s="75">
        <v>2</v>
      </c>
      <c r="D18" s="34" t="s">
        <v>21</v>
      </c>
      <c r="E18" s="75">
        <v>2</v>
      </c>
      <c r="F18" s="35" t="str">
        <f ca="1">IFERROR(VLOOKUP($G18,$M$5:$N$12, 2, FALSE), "")</f>
        <v>Teruel</v>
      </c>
      <c r="G18" s="57">
        <v>5</v>
      </c>
      <c r="H18" s="34">
        <v>4</v>
      </c>
      <c r="M18" s="58">
        <f ca="1">IFERROR(_xlfn.RANK.EQ(O18, O15:O18, 0), "")</f>
        <v>3</v>
      </c>
      <c r="N18" s="59" t="str">
        <f ca="1">IF(OR(C18="", E18=""), "", IF(OR(C18&gt;E18, C18=E18), B18, F18))</f>
        <v>Vinicius Rolim</v>
      </c>
      <c r="O18" s="58">
        <f ca="1">IF(OR(C18="", E18=""), "", VLOOKUP(N18, ClassGrupFases!$D$6:$P$39, 11, 0))</f>
        <v>79.218695537777776</v>
      </c>
      <c r="Q18" s="57">
        <f ca="1">IFERROR(_xlfn.RANK.EQ(S18, S15:S18, 0) + 4, "")</f>
        <v>6</v>
      </c>
      <c r="R18" s="60" t="str">
        <f ca="1">IF(OR(C18="", E18=""), "", IF(OR(C18&gt;E18, C18=E18), F18, B18))</f>
        <v>Teruel</v>
      </c>
      <c r="S18" s="57">
        <f ca="1">IF(OR(C18="", E18=""), "", VLOOKUP(R18, ClassGrupFases!$D$6:$P$39, 11, 0))</f>
        <v>73.562833072222219</v>
      </c>
      <c r="U18" s="61" t="str">
        <f ca="1">IF(OR(C18 = "",E18 = ""), "", F18)</f>
        <v>Teruel</v>
      </c>
      <c r="W18" s="61" t="str">
        <f>IF(OR(C18 = "",E18 = ""), "", IF(C18&gt;E18,B18, IF(E18&gt;C18,F18, "")))</f>
        <v/>
      </c>
      <c r="X18" s="61" t="str">
        <f ca="1">IF(OR(C18 = "",E18 = ""), "", IF(C18=E18,B18, ""))</f>
        <v>Vinicius Rolim</v>
      </c>
      <c r="Y18" s="61" t="str">
        <f ca="1">IF(OR(C18 = "",E18 = ""), "", IF(C18=E18,F18, ""))</f>
        <v>Teruel</v>
      </c>
      <c r="Z18" s="61" t="str">
        <f>IF(OR(C18 = "",E18 = ""), "", IF(C18&gt;E18,F18, IF(E18&gt;C18,B18, "")))</f>
        <v/>
      </c>
      <c r="AA18" s="61" t="str">
        <f ca="1">IF(OR(C18 = "",E18 = ""), "", B18)</f>
        <v>Vinicius Rolim</v>
      </c>
      <c r="AB18" s="61">
        <f>IF(C18 = "", "", C18)</f>
        <v>2</v>
      </c>
      <c r="AC18" s="61" t="str">
        <f ca="1">IF(OR(C18 = "",E18 = ""), "", F18)</f>
        <v>Teruel</v>
      </c>
      <c r="AD18" s="61">
        <f>IF(E18 = "", "", E18)</f>
        <v>2</v>
      </c>
      <c r="AE18" s="61">
        <f>IF(C18 = "", "", C18)</f>
        <v>2</v>
      </c>
    </row>
    <row r="19" spans="1:31" ht="25.5" x14ac:dyDescent="0.5">
      <c r="B19" s="63" t="s">
        <v>80</v>
      </c>
      <c r="C19" s="63"/>
      <c r="D19" s="63"/>
      <c r="E19" s="63"/>
      <c r="F19" s="63"/>
      <c r="G19" s="63"/>
      <c r="H19" s="63"/>
      <c r="U19" s="61" t="s">
        <v>13</v>
      </c>
      <c r="V19" s="61" t="s">
        <v>13</v>
      </c>
      <c r="W19" s="61" t="s">
        <v>14</v>
      </c>
      <c r="X19" s="61" t="s">
        <v>15</v>
      </c>
      <c r="Y19" s="61" t="s">
        <v>15</v>
      </c>
      <c r="Z19" s="61" t="s">
        <v>16</v>
      </c>
      <c r="AA19" s="61" t="s">
        <v>17</v>
      </c>
      <c r="AB19" s="61" t="s">
        <v>18</v>
      </c>
      <c r="AC19" s="61" t="s">
        <v>14</v>
      </c>
      <c r="AD19" s="61" t="s">
        <v>19</v>
      </c>
      <c r="AE19" s="61" t="s">
        <v>20</v>
      </c>
    </row>
    <row r="20" spans="1:31" x14ac:dyDescent="0.3">
      <c r="B20" s="66" t="s">
        <v>75</v>
      </c>
      <c r="C20" s="66"/>
      <c r="D20" s="66"/>
      <c r="E20" s="66"/>
      <c r="F20" s="66"/>
      <c r="G20" s="66"/>
      <c r="H20" s="65" t="s">
        <v>76</v>
      </c>
      <c r="L20" s="64">
        <f>Jogos!K3 + TIME(0,180,0)</f>
        <v>45018.708333333336</v>
      </c>
      <c r="M20" s="68" t="s">
        <v>77</v>
      </c>
      <c r="N20" s="67"/>
      <c r="O20" s="67"/>
      <c r="Q20" s="70" t="s">
        <v>78</v>
      </c>
      <c r="R20" s="69"/>
      <c r="S20" s="69"/>
    </row>
    <row r="21" spans="1:31" x14ac:dyDescent="0.3">
      <c r="A21" s="57">
        <v>1</v>
      </c>
      <c r="B21" s="74" t="str">
        <f ca="1">IFERROR(VLOOKUP($A21,$M$15:$N$18, 2, FALSE), "")</f>
        <v>Willow</v>
      </c>
      <c r="C21" s="75">
        <v>4</v>
      </c>
      <c r="D21" s="71" t="s">
        <v>21</v>
      </c>
      <c r="E21" s="75">
        <v>0</v>
      </c>
      <c r="F21" s="72" t="str">
        <f ca="1">IFERROR(VLOOKUP($G21,$M$15:$N$18, 2, FALSE), "")</f>
        <v>Luiz Coelho</v>
      </c>
      <c r="G21" s="73">
        <v>4</v>
      </c>
      <c r="H21" s="71">
        <v>1</v>
      </c>
      <c r="I21" s="71"/>
      <c r="J21" s="71"/>
      <c r="K21" s="71"/>
      <c r="M21" s="58">
        <f ca="1">IFERROR(_xlfn.RANK.EQ(O21, O21:O22, 0), "")</f>
        <v>1</v>
      </c>
      <c r="N21" s="59" t="str">
        <f ca="1">IF(OR(C21="", E21=""), "", IF(OR(C21&gt;E21, C21=E21), B21, F21))</f>
        <v>Willow</v>
      </c>
      <c r="O21" s="58">
        <f ca="1">IF(OR(C21="", E21=""), "", VLOOKUP(N21, ClassGrupFases!$D$6:$P$39, 11, 0))</f>
        <v>90.540406828888877</v>
      </c>
      <c r="Q21" s="57">
        <f ca="1">IFERROR(_xlfn.RANK.EQ(S21, S21:S22, 0) + 2, "")</f>
        <v>4</v>
      </c>
      <c r="R21" s="60" t="str">
        <f ca="1">IF(OR(C21="", E21=""), "", IF(OR(C21&gt;E21, C21=E21), F21, B21))</f>
        <v>Luiz Coelho</v>
      </c>
      <c r="S21" s="57">
        <f ca="1">IF(OR(C21="", E21=""), "", VLOOKUP(R21, ClassGrupFases!$D$6:$P$39, 11, 0))</f>
        <v>50.920004920000004</v>
      </c>
      <c r="U21" s="61" t="str">
        <f ca="1">IF(OR(C21 = "",E21 = ""), "", F21)</f>
        <v>Luiz Coelho</v>
      </c>
      <c r="W21" s="61" t="str">
        <f ca="1">IF(OR(C21 = "",E21 = ""), "", IF(C21&gt;E21,B21, IF(E21&gt;C21,F21, "")))</f>
        <v>Willow</v>
      </c>
      <c r="X21" s="61" t="str">
        <f>IF(OR(C21 = "",E21 = ""), "", IF(C21=E21,B21, ""))</f>
        <v/>
      </c>
      <c r="Y21" s="61" t="str">
        <f>IF(OR(C21 = "",E21 = ""), "", IF(C21=E21,F21, ""))</f>
        <v/>
      </c>
      <c r="Z21" s="61" t="str">
        <f ca="1">IF(OR(C21 = "",E21 = ""), "", IF(C21&gt;E21,F21, IF(E21&gt;C21,B21, "")))</f>
        <v>Luiz Coelho</v>
      </c>
      <c r="AA21" s="61" t="str">
        <f ca="1">IF(OR(C21 = "",E21 = ""), "", B21)</f>
        <v>Willow</v>
      </c>
      <c r="AB21" s="61">
        <f>IF(C21 = "", "", C21)</f>
        <v>4</v>
      </c>
      <c r="AC21" s="61" t="str">
        <f ca="1">IF(OR(C21 = "",E21 = ""), "", F21)</f>
        <v>Luiz Coelho</v>
      </c>
      <c r="AD21" s="61">
        <f>IF(E21 = "", "", E21)</f>
        <v>0</v>
      </c>
      <c r="AE21" s="61">
        <f>IF(C21 = "", "", C21)</f>
        <v>4</v>
      </c>
    </row>
    <row r="22" spans="1:31" x14ac:dyDescent="0.3">
      <c r="A22" s="57">
        <v>2</v>
      </c>
      <c r="B22" s="62" t="str">
        <f ca="1">IFERROR(VLOOKUP($A22,$M$15:$N$18, 2, FALSE), "")</f>
        <v>Tabajara</v>
      </c>
      <c r="C22" s="75">
        <v>2</v>
      </c>
      <c r="D22" s="34" t="s">
        <v>21</v>
      </c>
      <c r="E22" s="75">
        <v>0</v>
      </c>
      <c r="F22" s="35" t="str">
        <f ca="1">IFERROR(VLOOKUP($G22,$M$15:$N$18, 2, FALSE), "")</f>
        <v>Vinicius Rolim</v>
      </c>
      <c r="G22" s="57">
        <v>3</v>
      </c>
      <c r="H22" s="34">
        <v>2</v>
      </c>
      <c r="M22" s="58">
        <f ca="1">IFERROR(_xlfn.RANK.EQ(O22, O21:O22, 0), "")</f>
        <v>2</v>
      </c>
      <c r="N22" s="59" t="str">
        <f ca="1">IF(OR(C22="", E22=""), "", IF(OR(C22&gt;E22, C22=E22), B22, F22))</f>
        <v>Tabajara</v>
      </c>
      <c r="O22" s="58">
        <f ca="1">IF(OR(C22="", E22=""), "", VLOOKUP(N22, ClassGrupFases!$D$6:$P$39, 11, 0))</f>
        <v>90.540203538888889</v>
      </c>
      <c r="Q22" s="57">
        <f ca="1">IFERROR(_xlfn.RANK.EQ(S22, S21:S22, 0) + 2, "")</f>
        <v>3</v>
      </c>
      <c r="R22" s="60" t="str">
        <f ca="1">IF(OR(C22="", E22=""), "", IF(OR(C22&gt;E22, C22=E22), F22, B22))</f>
        <v>Vinicius Rolim</v>
      </c>
      <c r="S22" s="57">
        <f ca="1">IF(OR(C22="", E22=""), "", VLOOKUP(R22, ClassGrupFases!$D$6:$P$39, 11, 0))</f>
        <v>79.218695537777776</v>
      </c>
      <c r="U22" s="61" t="str">
        <f ca="1">IF(OR(C22 = "",E22 = ""), "", F22)</f>
        <v>Vinicius Rolim</v>
      </c>
      <c r="W22" s="61" t="str">
        <f ca="1">IF(OR(C22 = "",E22 = ""), "", IF(C22&gt;E22,B22, IF(E22&gt;C22,F22, "")))</f>
        <v>Tabajara</v>
      </c>
      <c r="X22" s="61" t="str">
        <f>IF(OR(C22 = "",E22 = ""), "", IF(C22=E22,B22, ""))</f>
        <v/>
      </c>
      <c r="Y22" s="61" t="str">
        <f>IF(OR(C22 = "",E22 = ""), "", IF(C22=E22,F22, ""))</f>
        <v/>
      </c>
      <c r="Z22" s="61" t="str">
        <f ca="1">IF(OR(C22 = "",E22 = ""), "", IF(C22&gt;E22,F22, IF(E22&gt;C22,B22, "")))</f>
        <v>Vinicius Rolim</v>
      </c>
      <c r="AA22" s="61" t="str">
        <f ca="1">IF(OR(C22 = "",E22 = ""), "", B22)</f>
        <v>Tabajara</v>
      </c>
      <c r="AB22" s="61">
        <f>IF(C22 = "", "", C22)</f>
        <v>2</v>
      </c>
      <c r="AC22" s="61" t="str">
        <f ca="1">IF(OR(C22 = "",E22 = ""), "", F22)</f>
        <v>Vinicius Rolim</v>
      </c>
      <c r="AD22" s="61">
        <f>IF(E22 = "", "", E22)</f>
        <v>0</v>
      </c>
      <c r="AE22" s="61">
        <f>IF(C22 = "", "", C22)</f>
        <v>2</v>
      </c>
    </row>
    <row r="23" spans="1:31" ht="25.5" x14ac:dyDescent="0.5">
      <c r="B23" s="63" t="s">
        <v>81</v>
      </c>
      <c r="C23" s="63"/>
      <c r="D23" s="63"/>
      <c r="E23" s="63"/>
      <c r="F23" s="63"/>
      <c r="G23" s="63"/>
      <c r="H23" s="63"/>
      <c r="U23" s="61" t="s">
        <v>13</v>
      </c>
      <c r="V23" s="61" t="s">
        <v>13</v>
      </c>
      <c r="W23" s="61" t="s">
        <v>14</v>
      </c>
      <c r="X23" s="61" t="s">
        <v>15</v>
      </c>
      <c r="Y23" s="61" t="s">
        <v>15</v>
      </c>
      <c r="Z23" s="61" t="s">
        <v>16</v>
      </c>
      <c r="AA23" s="61" t="s">
        <v>17</v>
      </c>
      <c r="AB23" s="61" t="s">
        <v>18</v>
      </c>
      <c r="AC23" s="61" t="s">
        <v>14</v>
      </c>
      <c r="AD23" s="61" t="s">
        <v>19</v>
      </c>
      <c r="AE23" s="61" t="s">
        <v>20</v>
      </c>
    </row>
    <row r="24" spans="1:31" x14ac:dyDescent="0.3">
      <c r="B24" s="66" t="s">
        <v>75</v>
      </c>
      <c r="C24" s="66"/>
      <c r="D24" s="66"/>
      <c r="E24" s="66"/>
      <c r="F24" s="66"/>
      <c r="G24" s="66"/>
      <c r="H24" s="65" t="s">
        <v>76</v>
      </c>
      <c r="L24" s="64">
        <f>Jogos!K3 + TIME(0,200,0)</f>
        <v>45018.722222222226</v>
      </c>
      <c r="M24" s="68" t="s">
        <v>77</v>
      </c>
      <c r="N24" s="67"/>
      <c r="O24" s="67"/>
      <c r="Q24" s="70" t="s">
        <v>78</v>
      </c>
      <c r="R24" s="69"/>
      <c r="S24" s="69"/>
    </row>
    <row r="25" spans="1:31" x14ac:dyDescent="0.3">
      <c r="A25" s="57">
        <v>3</v>
      </c>
      <c r="B25" s="74" t="str">
        <f ca="1">IFERROR(VLOOKUP($A25,$Q$21:$R$22, 2, FALSE), "")</f>
        <v>Vinicius Rolim</v>
      </c>
      <c r="C25" s="75">
        <v>0</v>
      </c>
      <c r="D25" s="71" t="s">
        <v>21</v>
      </c>
      <c r="E25" s="75">
        <v>0</v>
      </c>
      <c r="F25" s="72" t="str">
        <f ca="1">IFERROR(VLOOKUP($G25,$Q$21:$R$22, 2, FALSE), "")</f>
        <v>Luiz Coelho</v>
      </c>
      <c r="G25" s="73">
        <v>4</v>
      </c>
      <c r="H25" s="71">
        <v>2</v>
      </c>
      <c r="I25" s="71"/>
      <c r="J25" s="71"/>
      <c r="K25" s="71"/>
      <c r="M25" s="58">
        <f ca="1">IFERROR(_xlfn.RANK.EQ(O25, O25:O25, 0), "")</f>
        <v>1</v>
      </c>
      <c r="N25" s="59" t="str">
        <f ca="1">IF(OR(C25="", E25=""), "", IF(OR(C25&gt;E25, C25=E25), B25, F25))</f>
        <v>Vinicius Rolim</v>
      </c>
      <c r="O25" s="58">
        <f ca="1">IF(OR(C25="", E25=""), "", VLOOKUP(N25, ClassGrupFases!$D$6:$P$39, 11, 0))</f>
        <v>79.218695537777776</v>
      </c>
      <c r="Q25" s="57">
        <f ca="1">IFERROR(_xlfn.RANK.EQ(S25, S25:S25, 0) + 1, "")</f>
        <v>2</v>
      </c>
      <c r="R25" s="60" t="str">
        <f ca="1">IF(OR(C25="", E25=""), "", IF(OR(C25&gt;E25, C25=E25), F25, B25))</f>
        <v>Luiz Coelho</v>
      </c>
      <c r="S25" s="57">
        <f ca="1">IF(OR(C25="", E25=""), "", VLOOKUP(R25, ClassGrupFases!$D$6:$P$39, 11, 0))</f>
        <v>50.920004920000004</v>
      </c>
      <c r="U25" s="61" t="str">
        <f ca="1">IF(OR(C25 = "",E25 = ""), "", F25)</f>
        <v>Luiz Coelho</v>
      </c>
      <c r="W25" s="61" t="str">
        <f>IF(OR(C25 = "",E25 = ""), "", IF(C25&gt;E25,B25, IF(E25&gt;C25,F25, "")))</f>
        <v/>
      </c>
      <c r="X25" s="61" t="str">
        <f ca="1">IF(OR(C25 = "",E25 = ""), "", IF(C25=E25,B25, ""))</f>
        <v>Vinicius Rolim</v>
      </c>
      <c r="Y25" s="61" t="str">
        <f ca="1">IF(OR(C25 = "",E25 = ""), "", IF(C25=E25,F25, ""))</f>
        <v>Luiz Coelho</v>
      </c>
      <c r="Z25" s="61" t="str">
        <f>IF(OR(C25 = "",E25 = ""), "", IF(C25&gt;E25,F25, IF(E25&gt;C25,B25, "")))</f>
        <v/>
      </c>
      <c r="AA25" s="61" t="str">
        <f ca="1">IF(OR(C25 = "",E25 = ""), "", B25)</f>
        <v>Vinicius Rolim</v>
      </c>
      <c r="AB25" s="61">
        <f>IF(C25 = "", "", C25)</f>
        <v>0</v>
      </c>
      <c r="AC25" s="61" t="str">
        <f ca="1">IF(OR(C25 = "",E25 = ""), "", F25)</f>
        <v>Luiz Coelho</v>
      </c>
      <c r="AD25" s="61">
        <f>IF(E25 = "", "", E25)</f>
        <v>0</v>
      </c>
      <c r="AE25" s="61">
        <f>IF(C25 = "", "", C25)</f>
        <v>0</v>
      </c>
    </row>
    <row r="26" spans="1:31" ht="25.5" x14ac:dyDescent="0.5">
      <c r="B26" s="63" t="s">
        <v>82</v>
      </c>
      <c r="C26" s="63"/>
      <c r="D26" s="63"/>
      <c r="E26" s="63"/>
      <c r="F26" s="63"/>
      <c r="G26" s="63"/>
      <c r="H26" s="63"/>
      <c r="U26" s="61" t="s">
        <v>13</v>
      </c>
      <c r="V26" s="61" t="s">
        <v>13</v>
      </c>
      <c r="W26" s="61" t="s">
        <v>14</v>
      </c>
      <c r="X26" s="61" t="s">
        <v>15</v>
      </c>
      <c r="Y26" s="61" t="s">
        <v>15</v>
      </c>
      <c r="Z26" s="61" t="s">
        <v>16</v>
      </c>
      <c r="AA26" s="61" t="s">
        <v>17</v>
      </c>
      <c r="AB26" s="61" t="s">
        <v>18</v>
      </c>
      <c r="AC26" s="61" t="s">
        <v>14</v>
      </c>
      <c r="AD26" s="61" t="s">
        <v>19</v>
      </c>
      <c r="AE26" s="61" t="s">
        <v>20</v>
      </c>
    </row>
    <row r="27" spans="1:31" x14ac:dyDescent="0.3">
      <c r="B27" s="66" t="s">
        <v>75</v>
      </c>
      <c r="C27" s="66"/>
      <c r="D27" s="66"/>
      <c r="E27" s="66"/>
      <c r="F27" s="66"/>
      <c r="G27" s="66"/>
      <c r="H27" s="65" t="s">
        <v>76</v>
      </c>
      <c r="L27" s="64">
        <f>Jogos!K3 + TIME(0,200,0)</f>
        <v>45018.722222222226</v>
      </c>
      <c r="M27" s="68" t="s">
        <v>77</v>
      </c>
      <c r="N27" s="67"/>
      <c r="O27" s="67"/>
      <c r="Q27" s="70" t="s">
        <v>78</v>
      </c>
      <c r="R27" s="69"/>
      <c r="S27" s="69"/>
    </row>
    <row r="28" spans="1:31" x14ac:dyDescent="0.3">
      <c r="A28" s="57">
        <v>1</v>
      </c>
      <c r="B28" s="62" t="str">
        <f ca="1">IFERROR(VLOOKUP($A28,$M$21:$N$22, 2, FALSE), "")</f>
        <v>Willow</v>
      </c>
      <c r="C28" s="75">
        <v>3</v>
      </c>
      <c r="D28" s="34" t="s">
        <v>21</v>
      </c>
      <c r="E28" s="75">
        <v>2</v>
      </c>
      <c r="F28" s="35" t="str">
        <f ca="1">IFERROR(VLOOKUP($G28,$M$21:$N$22, 2, FALSE), "")</f>
        <v>Tabajara</v>
      </c>
      <c r="G28" s="57">
        <v>2</v>
      </c>
      <c r="H28" s="34">
        <v>1</v>
      </c>
      <c r="M28" s="58">
        <f ca="1">IFERROR(_xlfn.RANK.EQ(O28, O28:O28, 0), "")</f>
        <v>1</v>
      </c>
      <c r="N28" s="59" t="str">
        <f ca="1">IF(OR(C28="", E28=""), "", IF(OR(C28&gt;E28, C28=E28), B28, F28))</f>
        <v>Willow</v>
      </c>
      <c r="O28" s="58">
        <f ca="1">IF(OR(C28="", E28=""), "", VLOOKUP(N28, ClassGrupFases!$D$6:$P$39, 11, 0))</f>
        <v>90.540406828888877</v>
      </c>
      <c r="Q28" s="57">
        <f ca="1">IFERROR(_xlfn.RANK.EQ(S28, S28:S28, 0) + 1, "")</f>
        <v>2</v>
      </c>
      <c r="R28" s="60" t="str">
        <f ca="1">IF(OR(C28="", E28=""), "", IF(OR(C28&gt;E28, C28=E28), F28, B28))</f>
        <v>Tabajara</v>
      </c>
      <c r="S28" s="57">
        <f ca="1">IF(OR(C28="", E28=""), "", VLOOKUP(R28, ClassGrupFases!$D$6:$P$39, 11, 0))</f>
        <v>90.540203538888889</v>
      </c>
      <c r="U28" s="61" t="str">
        <f ca="1">IF(OR(C28 = "",E28 = ""), "", F28)</f>
        <v>Tabajara</v>
      </c>
      <c r="W28" s="61" t="str">
        <f ca="1">IF(OR(C28 = "",E28 = ""), "", IF(C28&gt;E28,B28, IF(E28&gt;C28,F28, "")))</f>
        <v>Willow</v>
      </c>
      <c r="X28" s="61" t="str">
        <f>IF(OR(C28 = "",E28 = ""), "", IF(C28=E28,B28, ""))</f>
        <v/>
      </c>
      <c r="Y28" s="61" t="str">
        <f>IF(OR(C28 = "",E28 = ""), "", IF(C28=E28,F28, ""))</f>
        <v/>
      </c>
      <c r="Z28" s="61" t="str">
        <f ca="1">IF(OR(C28 = "",E28 = ""), "", IF(C28&gt;E28,F28, IF(E28&gt;C28,B28, "")))</f>
        <v>Tabajara</v>
      </c>
      <c r="AA28" s="61" t="str">
        <f ca="1">IF(OR(C28 = "",E28 = ""), "", B28)</f>
        <v>Willow</v>
      </c>
      <c r="AB28" s="61">
        <f>IF(C28 = "", "", C28)</f>
        <v>3</v>
      </c>
      <c r="AC28" s="61" t="str">
        <f ca="1">IF(OR(C28 = "",E28 = ""), "", F28)</f>
        <v>Tabajara</v>
      </c>
      <c r="AD28" s="61">
        <f>IF(E28 = "", "", E28)</f>
        <v>2</v>
      </c>
      <c r="AE28" s="61">
        <f>IF(C28 = "", "", C28)</f>
        <v>3</v>
      </c>
    </row>
  </sheetData>
  <sheetProtection sheet="1" objects="1" scenarios="1" selectLockedCells="1"/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showGridLines="0" workbookViewId="0">
      <pane xSplit="1" ySplit="3" topLeftCell="B18" activePane="bottomRight" state="frozen"/>
      <selection pane="topRight" activeCell="B1" sqref="B1"/>
      <selection pane="bottomLeft" activeCell="A4" sqref="A4"/>
      <selection pane="bottomRight" activeCell="I25" sqref="I25"/>
    </sheetView>
  </sheetViews>
  <sheetFormatPr defaultRowHeight="20.25" x14ac:dyDescent="0.35"/>
  <cols>
    <col min="1" max="1" width="1.7109375" style="77" customWidth="1"/>
    <col min="2" max="2" width="5.7109375" style="90" customWidth="1"/>
    <col min="3" max="3" width="50.7109375" style="79" customWidth="1"/>
    <col min="4" max="16384" width="9.140625" style="76"/>
  </cols>
  <sheetData>
    <row r="1" spans="2:3" ht="21" x14ac:dyDescent="0.35">
      <c r="B1" s="78" t="s">
        <v>84</v>
      </c>
    </row>
    <row r="2" spans="2:3" x14ac:dyDescent="0.35">
      <c r="B2" s="80" t="s">
        <v>1</v>
      </c>
    </row>
    <row r="3" spans="2:3" ht="25.5" x14ac:dyDescent="0.5">
      <c r="B3" s="81" t="s">
        <v>83</v>
      </c>
      <c r="C3" s="81"/>
    </row>
    <row r="4" spans="2:3" x14ac:dyDescent="0.35">
      <c r="B4" s="82" t="s">
        <v>85</v>
      </c>
      <c r="C4" s="83" t="str">
        <f ca="1">IFERROR(INDEX(Finais!N:N,MATCH("Final",Finais!B:B,0)+2),"")</f>
        <v>Willow</v>
      </c>
    </row>
    <row r="5" spans="2:3" x14ac:dyDescent="0.35">
      <c r="B5" s="82" t="s">
        <v>86</v>
      </c>
      <c r="C5" s="83" t="str">
        <f ca="1">IFERROR(INDEX(Finais!R:R,MATCH("Final",Finais!B:B,0)+2),"")</f>
        <v>Tabajara</v>
      </c>
    </row>
    <row r="6" spans="2:3" x14ac:dyDescent="0.35">
      <c r="B6" s="82" t="s">
        <v>87</v>
      </c>
      <c r="C6" s="83" t="str">
        <f ca="1">IFERROR(INDEX(Finais!N:N,MATCH("Disputa de 3º lugar",Finais!B:B,0)+2),"")</f>
        <v>Vinicius Rolim</v>
      </c>
    </row>
    <row r="7" spans="2:3" x14ac:dyDescent="0.35">
      <c r="B7" s="82" t="s">
        <v>88</v>
      </c>
      <c r="C7" s="83" t="str">
        <f ca="1">IFERROR(INDEX(Finais!R:R,MATCH("Disputa de 3º lugar",Finais!B:B,0)+2),"")</f>
        <v>Luiz Coelho</v>
      </c>
    </row>
    <row r="8" spans="2:3" x14ac:dyDescent="0.35">
      <c r="B8" s="84" t="s">
        <v>89</v>
      </c>
      <c r="C8" s="85" t="str">
        <f ca="1">IFERROR(VLOOKUP(5,Finais!Q:R,2,FALSE),"")</f>
        <v>Ruas</v>
      </c>
    </row>
    <row r="9" spans="2:3" x14ac:dyDescent="0.35">
      <c r="B9" s="84" t="s">
        <v>90</v>
      </c>
      <c r="C9" s="85" t="str">
        <f ca="1">IFERROR(VLOOKUP(6,Finais!Q:R,2,FALSE),"")</f>
        <v>Teruel</v>
      </c>
    </row>
    <row r="10" spans="2:3" x14ac:dyDescent="0.35">
      <c r="B10" s="84" t="s">
        <v>91</v>
      </c>
      <c r="C10" s="85" t="str">
        <f ca="1">IFERROR(VLOOKUP(7,Finais!Q:R,2,FALSE),"")</f>
        <v>Galdeano</v>
      </c>
    </row>
    <row r="11" spans="2:3" x14ac:dyDescent="0.35">
      <c r="B11" s="86" t="s">
        <v>92</v>
      </c>
      <c r="C11" s="87" t="str">
        <f ca="1">IFERROR(VLOOKUP(8,Finais!Q:R,2,FALSE),"")</f>
        <v>Elsio</v>
      </c>
    </row>
    <row r="12" spans="2:3" x14ac:dyDescent="0.35">
      <c r="B12" s="88" t="s">
        <v>93</v>
      </c>
      <c r="C12" s="89" t="str">
        <f ca="1">IFERROR(VLOOKUP(9,Finais!Q:R,2,FALSE),"")</f>
        <v xml:space="preserve">Marcão </v>
      </c>
    </row>
    <row r="13" spans="2:3" x14ac:dyDescent="0.35">
      <c r="B13" s="88" t="s">
        <v>94</v>
      </c>
      <c r="C13" s="89" t="str">
        <f ca="1">IFERROR(VLOOKUP(10,Finais!Q:R,2,FALSE),"")</f>
        <v>Rodrigo Moro</v>
      </c>
    </row>
    <row r="14" spans="2:3" x14ac:dyDescent="0.35">
      <c r="B14" s="88" t="s">
        <v>95</v>
      </c>
      <c r="C14" s="89" t="str">
        <f ca="1">IFERROR(VLOOKUP(11,Finais!Q:R,2,FALSE),"")</f>
        <v>Mario Mili</v>
      </c>
    </row>
    <row r="15" spans="2:3" x14ac:dyDescent="0.35">
      <c r="B15" s="88" t="s">
        <v>96</v>
      </c>
      <c r="C15" s="89" t="str">
        <f ca="1">IFERROR(VLOOKUP(12,Finais!Q:R,2,FALSE),"")</f>
        <v>Afonso</v>
      </c>
    </row>
    <row r="16" spans="2:3" x14ac:dyDescent="0.35">
      <c r="B16" s="88" t="s">
        <v>97</v>
      </c>
      <c r="C16" s="89" t="str">
        <f ca="1">IFERROR(VLOOKUP(13,Finais!Q:R,2,FALSE),"")</f>
        <v>Rafael Balieiro</v>
      </c>
    </row>
    <row r="17" spans="2:3" x14ac:dyDescent="0.35">
      <c r="B17" s="88" t="s">
        <v>98</v>
      </c>
      <c r="C17" s="89" t="str">
        <f ca="1">IFERROR(VLOOKUP(14,Finais!Q:R,2,FALSE),"")</f>
        <v>Diogo</v>
      </c>
    </row>
    <row r="18" spans="2:3" x14ac:dyDescent="0.35">
      <c r="B18" s="88" t="s">
        <v>99</v>
      </c>
      <c r="C18" s="89" t="str">
        <f ca="1">IFERROR(VLOOKUP(15,Finais!Q:R,2,FALSE),"")</f>
        <v>DJ Iury</v>
      </c>
    </row>
    <row r="19" spans="2:3" x14ac:dyDescent="0.35">
      <c r="B19" s="88" t="s">
        <v>100</v>
      </c>
      <c r="C19" s="89" t="str">
        <f ca="1">IFERROR(VLOOKUP(16,Finais!Q:R,2,FALSE),"")</f>
        <v>Mario</v>
      </c>
    </row>
    <row r="20" spans="2:3" x14ac:dyDescent="0.35">
      <c r="B20" s="88" t="s">
        <v>101</v>
      </c>
      <c r="C20" s="89" t="str">
        <f ca="1">IFERROR(VLOOKUP(17,ClassGrupFases!$C$61:$D$72,2,FALSE),"")</f>
        <v>Luiz Moreira</v>
      </c>
    </row>
    <row r="21" spans="2:3" x14ac:dyDescent="0.35">
      <c r="B21" s="88" t="s">
        <v>102</v>
      </c>
      <c r="C21" s="89" t="str">
        <f ca="1">IFERROR(VLOOKUP(18,ClassGrupFases!$C$61:$D$72,2,FALSE),"")</f>
        <v>Erismar</v>
      </c>
    </row>
    <row r="22" spans="2:3" x14ac:dyDescent="0.35">
      <c r="B22" s="88" t="s">
        <v>103</v>
      </c>
      <c r="C22" s="89" t="str">
        <f ca="1">IFERROR(VLOOKUP(19,ClassGrupFases!$C$61:$D$72,2,FALSE),"")</f>
        <v>Professor</v>
      </c>
    </row>
    <row r="23" spans="2:3" x14ac:dyDescent="0.35">
      <c r="B23" s="88" t="s">
        <v>104</v>
      </c>
      <c r="C23" s="89" t="str">
        <f ca="1">IFERROR(VLOOKUP(20,ClassGrupFases!$C$61:$D$72,2,FALSE),"")</f>
        <v>Sergio Barreira</v>
      </c>
    </row>
    <row r="24" spans="2:3" x14ac:dyDescent="0.35">
      <c r="B24" s="88" t="s">
        <v>105</v>
      </c>
      <c r="C24" s="89" t="str">
        <f ca="1">IFERROR(VLOOKUP(21,ClassGrupFases!$C$61:$D$72,2,FALSE),"")</f>
        <v>Zé Luiz</v>
      </c>
    </row>
    <row r="25" spans="2:3" x14ac:dyDescent="0.35">
      <c r="B25" s="88" t="s">
        <v>106</v>
      </c>
      <c r="C25" s="89" t="str">
        <f ca="1">IFERROR(VLOOKUP(22,ClassGrupFases!$C$61:$D$72,2,FALSE),"")</f>
        <v>Pepe</v>
      </c>
    </row>
    <row r="26" spans="2:3" x14ac:dyDescent="0.35">
      <c r="B26" s="88" t="s">
        <v>107</v>
      </c>
      <c r="C26" s="89" t="str">
        <f ca="1">IFERROR(VLOOKUP(23,ClassGrupFases!$C$61:$D$72,2,FALSE),"")</f>
        <v>Tupinamba</v>
      </c>
    </row>
    <row r="27" spans="2:3" x14ac:dyDescent="0.35">
      <c r="B27" s="88" t="s">
        <v>108</v>
      </c>
      <c r="C27" s="89" t="str">
        <f ca="1">IFERROR(VLOOKUP(24,ClassGrupFases!$C$61:$D$72,2,FALSE),"")</f>
        <v>Léo Carioca</v>
      </c>
    </row>
    <row r="28" spans="2:3" x14ac:dyDescent="0.35">
      <c r="B28" s="88" t="s">
        <v>109</v>
      </c>
      <c r="C28" s="89" t="str">
        <f ca="1">IFERROR(VLOOKUP(25,ClassGrupFases!$C$61:$D$72,2,FALSE),"")</f>
        <v>Reginaldo</v>
      </c>
    </row>
    <row r="29" spans="2:3" x14ac:dyDescent="0.35">
      <c r="B29" s="88" t="s">
        <v>110</v>
      </c>
      <c r="C29" s="89" t="str">
        <f ca="1">IFERROR(VLOOKUP(26,ClassGrupFases!$C$61:$D$72,2,FALSE),"")</f>
        <v>Cortez</v>
      </c>
    </row>
    <row r="30" spans="2:3" x14ac:dyDescent="0.35">
      <c r="B30" s="88" t="s">
        <v>111</v>
      </c>
      <c r="C30" s="89" t="str">
        <f ca="1">IFERROR(VLOOKUP(27,ClassGrupFases!$C$61:$D$72,2,FALSE),"")</f>
        <v>Felix</v>
      </c>
    </row>
    <row r="31" spans="2:3" x14ac:dyDescent="0.35">
      <c r="B31" s="88" t="s">
        <v>112</v>
      </c>
      <c r="C31" s="89" t="str">
        <f ca="1">IFERROR(VLOOKUP(28,ClassGrupFases!$C$61:$D$72,2,FALSE),"")</f>
        <v>Coelho</v>
      </c>
    </row>
  </sheetData>
  <sheetProtection sheet="1" objects="1" scenarios="1"/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3"/>
  <sheetViews>
    <sheetView tabSelected="1" topLeftCell="F4" zoomScale="140" zoomScaleNormal="140" workbookViewId="0">
      <selection activeCell="L28" sqref="L28"/>
    </sheetView>
  </sheetViews>
  <sheetFormatPr defaultRowHeight="15" x14ac:dyDescent="0.25"/>
  <cols>
    <col min="2" max="2" width="14.140625" bestFit="1" customWidth="1"/>
    <col min="6" max="6" width="16.85546875" customWidth="1"/>
    <col min="9" max="9" width="6" customWidth="1"/>
    <col min="10" max="10" width="24.42578125" customWidth="1"/>
  </cols>
  <sheetData>
    <row r="3" spans="1:10" x14ac:dyDescent="0.25">
      <c r="B3" t="s">
        <v>141</v>
      </c>
      <c r="I3" t="s">
        <v>149</v>
      </c>
    </row>
    <row r="4" spans="1:10" ht="20.25" x14ac:dyDescent="0.35">
      <c r="B4" s="91" t="s">
        <v>148</v>
      </c>
      <c r="G4" t="s">
        <v>10</v>
      </c>
      <c r="I4" s="82" t="s">
        <v>85</v>
      </c>
      <c r="J4" s="83" t="s">
        <v>113</v>
      </c>
    </row>
    <row r="5" spans="1:10" ht="20.25" x14ac:dyDescent="0.35">
      <c r="A5">
        <v>1</v>
      </c>
      <c r="B5" s="93" t="s">
        <v>128</v>
      </c>
      <c r="C5" s="93">
        <v>0</v>
      </c>
      <c r="D5" s="93" t="s">
        <v>21</v>
      </c>
      <c r="E5" s="93">
        <v>2</v>
      </c>
      <c r="F5" s="93" t="s">
        <v>138</v>
      </c>
      <c r="G5">
        <v>9</v>
      </c>
      <c r="I5" s="82" t="s">
        <v>86</v>
      </c>
      <c r="J5" s="83" t="s">
        <v>136</v>
      </c>
    </row>
    <row r="6" spans="1:10" ht="20.25" x14ac:dyDescent="0.35">
      <c r="A6">
        <v>2</v>
      </c>
      <c r="B6" s="93" t="s">
        <v>118</v>
      </c>
      <c r="C6" s="93">
        <v>0</v>
      </c>
      <c r="D6" s="93" t="s">
        <v>21</v>
      </c>
      <c r="E6" s="93">
        <v>0</v>
      </c>
      <c r="F6" s="93" t="s">
        <v>130</v>
      </c>
      <c r="G6">
        <v>10</v>
      </c>
      <c r="I6" s="82" t="s">
        <v>87</v>
      </c>
      <c r="J6" s="83" t="s">
        <v>127</v>
      </c>
    </row>
    <row r="7" spans="1:10" ht="20.25" x14ac:dyDescent="0.35">
      <c r="A7">
        <v>3</v>
      </c>
      <c r="B7" s="93" t="s">
        <v>140</v>
      </c>
      <c r="C7" s="93">
        <v>0</v>
      </c>
      <c r="D7" s="93" t="s">
        <v>21</v>
      </c>
      <c r="E7" s="93">
        <v>2</v>
      </c>
      <c r="F7" s="93" t="s">
        <v>119</v>
      </c>
      <c r="G7">
        <v>11</v>
      </c>
      <c r="I7" s="82" t="s">
        <v>88</v>
      </c>
      <c r="J7" s="83" t="s">
        <v>115</v>
      </c>
    </row>
    <row r="8" spans="1:10" ht="20.25" x14ac:dyDescent="0.35">
      <c r="A8">
        <v>4</v>
      </c>
      <c r="B8" s="93" t="s">
        <v>142</v>
      </c>
      <c r="C8" s="93">
        <v>3</v>
      </c>
      <c r="D8" s="93" t="s">
        <v>21</v>
      </c>
      <c r="E8" s="93">
        <v>0</v>
      </c>
      <c r="F8" s="93" t="s">
        <v>124</v>
      </c>
      <c r="G8">
        <v>12</v>
      </c>
      <c r="I8" s="84" t="s">
        <v>89</v>
      </c>
      <c r="J8" s="85" t="s">
        <v>122</v>
      </c>
    </row>
    <row r="9" spans="1:10" ht="20.25" x14ac:dyDescent="0.35">
      <c r="G9" s="92"/>
      <c r="I9" s="84" t="s">
        <v>90</v>
      </c>
      <c r="J9" s="85" t="s">
        <v>120</v>
      </c>
    </row>
    <row r="10" spans="1:10" ht="20.25" x14ac:dyDescent="0.35">
      <c r="B10" s="93" t="s">
        <v>135</v>
      </c>
      <c r="C10" s="93">
        <v>1</v>
      </c>
      <c r="D10" s="93" t="s">
        <v>21</v>
      </c>
      <c r="E10" s="93">
        <v>1</v>
      </c>
      <c r="F10" s="93" t="s">
        <v>142</v>
      </c>
      <c r="G10">
        <v>5</v>
      </c>
      <c r="I10" s="84" t="s">
        <v>91</v>
      </c>
      <c r="J10" s="85" t="s">
        <v>134</v>
      </c>
    </row>
    <row r="11" spans="1:10" ht="20.25" x14ac:dyDescent="0.35">
      <c r="B11" s="93" t="s">
        <v>117</v>
      </c>
      <c r="C11" s="93">
        <v>1</v>
      </c>
      <c r="D11" s="93" t="s">
        <v>21</v>
      </c>
      <c r="E11" s="93">
        <v>1</v>
      </c>
      <c r="F11" s="93" t="s">
        <v>119</v>
      </c>
      <c r="G11">
        <v>6</v>
      </c>
      <c r="I11" s="86" t="s">
        <v>92</v>
      </c>
      <c r="J11" s="87" t="s">
        <v>126</v>
      </c>
    </row>
    <row r="12" spans="1:10" x14ac:dyDescent="0.25">
      <c r="B12" s="93" t="s">
        <v>132</v>
      </c>
      <c r="C12" s="93">
        <v>1</v>
      </c>
      <c r="D12" s="93" t="s">
        <v>21</v>
      </c>
      <c r="E12" s="93">
        <v>1</v>
      </c>
      <c r="F12" s="93" t="s">
        <v>118</v>
      </c>
      <c r="G12">
        <v>7</v>
      </c>
      <c r="I12" s="88" t="s">
        <v>93</v>
      </c>
      <c r="J12" s="89" t="s">
        <v>133</v>
      </c>
    </row>
    <row r="13" spans="1:10" x14ac:dyDescent="0.25">
      <c r="B13" s="93" t="s">
        <v>121</v>
      </c>
      <c r="C13" s="93">
        <v>1</v>
      </c>
      <c r="D13" s="93" t="s">
        <v>21</v>
      </c>
      <c r="E13" s="93">
        <v>2</v>
      </c>
      <c r="F13" s="93" t="s">
        <v>138</v>
      </c>
      <c r="G13">
        <v>8</v>
      </c>
      <c r="I13" s="88" t="s">
        <v>94</v>
      </c>
      <c r="J13" s="89" t="s">
        <v>131</v>
      </c>
    </row>
    <row r="14" spans="1:10" x14ac:dyDescent="0.25">
      <c r="B14" s="91"/>
      <c r="C14" s="91"/>
      <c r="D14" s="91"/>
      <c r="E14" s="91"/>
      <c r="F14" s="91"/>
      <c r="I14" s="88" t="s">
        <v>95</v>
      </c>
      <c r="J14" s="89" t="s">
        <v>139</v>
      </c>
    </row>
    <row r="15" spans="1:10" x14ac:dyDescent="0.25">
      <c r="B15" s="91"/>
      <c r="C15" s="91"/>
      <c r="D15" s="93"/>
      <c r="E15" s="91"/>
      <c r="F15" s="91"/>
      <c r="G15" s="92" t="s">
        <v>143</v>
      </c>
      <c r="I15" s="88" t="s">
        <v>96</v>
      </c>
      <c r="J15" s="89" t="s">
        <v>116</v>
      </c>
    </row>
    <row r="16" spans="1:10" x14ac:dyDescent="0.25">
      <c r="I16" s="88" t="s">
        <v>97</v>
      </c>
      <c r="J16" s="89" t="s">
        <v>137</v>
      </c>
    </row>
    <row r="17" spans="1:10" x14ac:dyDescent="0.25">
      <c r="B17" s="93" t="s">
        <v>144</v>
      </c>
      <c r="C17" s="94"/>
      <c r="D17" s="94"/>
      <c r="E17" s="94"/>
      <c r="F17" s="94"/>
      <c r="I17" s="88" t="s">
        <v>98</v>
      </c>
      <c r="J17" s="89" t="s">
        <v>129</v>
      </c>
    </row>
    <row r="18" spans="1:10" x14ac:dyDescent="0.25">
      <c r="B18" s="93" t="s">
        <v>135</v>
      </c>
      <c r="C18" s="94">
        <v>1</v>
      </c>
      <c r="D18" s="93" t="s">
        <v>21</v>
      </c>
      <c r="E18" s="94">
        <v>2</v>
      </c>
      <c r="F18" s="93" t="s">
        <v>138</v>
      </c>
      <c r="I18" s="88" t="s">
        <v>99</v>
      </c>
      <c r="J18" s="89" t="s">
        <v>114</v>
      </c>
    </row>
    <row r="19" spans="1:10" x14ac:dyDescent="0.25">
      <c r="B19" s="93" t="s">
        <v>117</v>
      </c>
      <c r="C19" s="94">
        <v>1</v>
      </c>
      <c r="D19" s="93" t="s">
        <v>21</v>
      </c>
      <c r="E19" s="94">
        <v>1</v>
      </c>
      <c r="F19" s="93" t="s">
        <v>132</v>
      </c>
      <c r="I19" s="88" t="s">
        <v>100</v>
      </c>
      <c r="J19" s="89" t="s">
        <v>123</v>
      </c>
    </row>
    <row r="20" spans="1:10" x14ac:dyDescent="0.25">
      <c r="B20" s="93"/>
      <c r="C20" s="94"/>
      <c r="D20" s="93"/>
      <c r="E20" s="94"/>
      <c r="F20" s="93"/>
      <c r="I20" s="88" t="s">
        <v>101</v>
      </c>
      <c r="J20" s="89" t="s">
        <v>117</v>
      </c>
    </row>
    <row r="21" spans="1:10" x14ac:dyDescent="0.25">
      <c r="B21" s="93"/>
      <c r="C21" s="94"/>
      <c r="D21" s="93"/>
      <c r="E21" s="94"/>
      <c r="F21" s="93"/>
      <c r="I21" s="88" t="s">
        <v>102</v>
      </c>
      <c r="J21" s="89" t="s">
        <v>138</v>
      </c>
    </row>
    <row r="22" spans="1:10" x14ac:dyDescent="0.25">
      <c r="I22" s="88" t="s">
        <v>103</v>
      </c>
      <c r="J22" s="89" t="s">
        <v>132</v>
      </c>
    </row>
    <row r="23" spans="1:10" x14ac:dyDescent="0.25">
      <c r="I23" s="88" t="s">
        <v>104</v>
      </c>
      <c r="J23" s="89" t="s">
        <v>135</v>
      </c>
    </row>
    <row r="24" spans="1:10" x14ac:dyDescent="0.25">
      <c r="B24" s="93" t="s">
        <v>145</v>
      </c>
      <c r="C24" s="94"/>
      <c r="D24" s="94"/>
      <c r="E24" s="94"/>
      <c r="F24" s="94"/>
      <c r="I24" s="88" t="s">
        <v>105</v>
      </c>
      <c r="J24" s="89" t="s">
        <v>128</v>
      </c>
    </row>
    <row r="25" spans="1:10" x14ac:dyDescent="0.25">
      <c r="A25" s="92" t="s">
        <v>146</v>
      </c>
      <c r="B25" s="93" t="s">
        <v>117</v>
      </c>
      <c r="C25" s="94">
        <v>1</v>
      </c>
      <c r="D25" s="94" t="s">
        <v>21</v>
      </c>
      <c r="E25" s="94">
        <v>2</v>
      </c>
      <c r="F25" s="94" t="s">
        <v>138</v>
      </c>
      <c r="I25" s="88" t="s">
        <v>106</v>
      </c>
      <c r="J25" s="89" t="s">
        <v>140</v>
      </c>
    </row>
    <row r="26" spans="1:10" x14ac:dyDescent="0.25">
      <c r="B26" s="94"/>
      <c r="C26" s="94"/>
      <c r="D26" s="94"/>
      <c r="E26" s="94"/>
      <c r="F26" s="94"/>
      <c r="I26" s="88" t="s">
        <v>107</v>
      </c>
      <c r="J26" s="89" t="s">
        <v>118</v>
      </c>
    </row>
    <row r="27" spans="1:10" x14ac:dyDescent="0.25">
      <c r="B27" s="94" t="s">
        <v>147</v>
      </c>
      <c r="C27" s="94"/>
      <c r="D27" s="94"/>
      <c r="E27" s="94"/>
      <c r="F27" s="94"/>
      <c r="I27" s="88" t="s">
        <v>108</v>
      </c>
      <c r="J27" s="89" t="s">
        <v>121</v>
      </c>
    </row>
    <row r="28" spans="1:10" x14ac:dyDescent="0.25">
      <c r="A28" s="92" t="s">
        <v>146</v>
      </c>
      <c r="B28" s="94" t="s">
        <v>132</v>
      </c>
      <c r="C28" s="94">
        <v>2</v>
      </c>
      <c r="D28" s="94" t="s">
        <v>21</v>
      </c>
      <c r="E28" s="94">
        <v>2</v>
      </c>
      <c r="F28" s="94" t="s">
        <v>135</v>
      </c>
      <c r="I28" s="88" t="s">
        <v>109</v>
      </c>
      <c r="J28" s="89" t="s">
        <v>125</v>
      </c>
    </row>
    <row r="29" spans="1:10" x14ac:dyDescent="0.25">
      <c r="I29" s="88" t="s">
        <v>110</v>
      </c>
      <c r="J29" s="89" t="s">
        <v>124</v>
      </c>
    </row>
    <row r="30" spans="1:10" x14ac:dyDescent="0.25">
      <c r="I30" s="88" t="s">
        <v>111</v>
      </c>
      <c r="J30" s="89" t="s">
        <v>119</v>
      </c>
    </row>
    <row r="31" spans="1:10" x14ac:dyDescent="0.25">
      <c r="I31" s="88" t="s">
        <v>112</v>
      </c>
      <c r="J31" s="89" t="s">
        <v>130</v>
      </c>
    </row>
    <row r="32" spans="1:10" x14ac:dyDescent="0.25">
      <c r="I32" s="88"/>
      <c r="J32" s="89"/>
    </row>
    <row r="33" spans="9:10" x14ac:dyDescent="0.25">
      <c r="I33" s="88"/>
      <c r="J33" s="89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Equipes</vt:lpstr>
      <vt:lpstr>Grupos</vt:lpstr>
      <vt:lpstr>Jogos</vt:lpstr>
      <vt:lpstr>ClassGrupFases</vt:lpstr>
      <vt:lpstr>Classificação</vt:lpstr>
      <vt:lpstr>Finais</vt:lpstr>
      <vt:lpstr>Premiação</vt:lpstr>
      <vt:lpstr>Mata mata 2 divisao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Braga</dc:creator>
  <cp:lastModifiedBy>Jose Jorge Farah Neto</cp:lastModifiedBy>
  <dcterms:created xsi:type="dcterms:W3CDTF">2023-04-02T17:37:23Z</dcterms:created>
  <dcterms:modified xsi:type="dcterms:W3CDTF">2023-04-03T00:41:51Z</dcterms:modified>
</cp:coreProperties>
</file>